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8.2.15\BNB_Private\PHONG DINH CHE TAI CHINH\PHONG DINH CHE - TAI CHINH\NGAN HANG GIAM SAT\QUY TANG TRUONG THANH CONG - TCGF 23461054\BÁO CÁO\01.2025\"/>
    </mc:Choice>
  </mc:AlternateContent>
  <bookViews>
    <workbookView xWindow="0" yWindow="0" windowWidth="19440" windowHeight="108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PhanHoiNHGS_06276" sheetId="12" r:id="rId11"/>
    <sheet name="DanhMucTaiSan_DTGTNN" sheetId="11" r:id="rId12"/>
    <sheet name="SheetHidden" sheetId="13" state="hidden" r:id="rId13"/>
  </sheets>
  <calcPr calcId="162913"/>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40" i="13"/>
  <c r="A341" i="13"/>
  <c r="A342" i="13"/>
  <c r="A344" i="13"/>
  <c r="A345" i="13"/>
  <c r="A346" i="13"/>
  <c r="A348" i="13"/>
  <c r="A349" i="13"/>
  <c r="A350" i="13"/>
  <c r="A351" i="13"/>
  <c r="A352" i="13"/>
  <c r="A353" i="13"/>
  <c r="A355" i="13"/>
  <c r="A356" i="13"/>
  <c r="A357" i="13"/>
  <c r="A358" i="13"/>
  <c r="A359" i="13"/>
  <c r="A360" i="13"/>
  <c r="A362" i="13"/>
  <c r="A363" i="13"/>
  <c r="A364"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1" i="13"/>
  <c r="A354" i="13"/>
  <c r="A347" i="13"/>
  <c r="A339" i="13"/>
  <c r="A365" i="13"/>
  <c r="A343" i="13"/>
</calcChain>
</file>

<file path=xl/sharedStrings.xml><?xml version="1.0" encoding="utf-8"?>
<sst xmlns="http://schemas.openxmlformats.org/spreadsheetml/2006/main" count="1301" uniqueCount="516">
  <si>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</si>
  <si>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</si>
  <si>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</si>
  <si>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</si>
  <si>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</si>
  <si>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</si>
  <si>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</si>
  <si>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</si>
  <si>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</si>
  <si>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</si>
  <si>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</si>
  <si>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</si>
  <si>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</si>
  <si>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</si>
  <si>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</si>
  <si>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</si>
  <si>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</si>
  <si>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</si>
  <si>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</si>
  <si>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</si>
  <si>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</si>
  <si>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</si>
  <si>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</si>
  <si>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</si>
  <si>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</si>
  <si>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</si>
  <si>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</si>
  <si>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</si>
  <si>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</si>
  <si>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</si>
  <si>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</si>
  <si>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</si>
  <si>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</si>
  <si>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</si>
  <si>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</si>
  <si>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</si>
  <si>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</si>
  <si>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</si>
  <si>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</si>
  <si>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</si>
  <si>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</si>
  <si>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</si>
  <si>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</si>
  <si>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</si>
  <si>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</si>
  <si>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</si>
  <si>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</si>
  <si>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</si>
  <si>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</si>
  <si>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</si>
  <si>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</si>
  <si>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</si>
  <si>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</si>
  <si>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</si>
  <si>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</si>
  <si>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%/cùng kỳ năm trước</t>
  </si>
  <si>
    <t>I</t>
  </si>
  <si>
    <t>Tài sản</t>
  </si>
  <si>
    <t>2200</t>
  </si>
  <si>
    <t>I.1</t>
  </si>
  <si>
    <t>Tiền và các khoản tương đương tiền</t>
  </si>
  <si>
    <t>2201</t>
  </si>
  <si>
    <t>2202</t>
  </si>
  <si>
    <t>...</t>
  </si>
  <si>
    <t>Tiền gửi ngân hàng</t>
  </si>
  <si>
    <t>2203</t>
  </si>
  <si>
    <t>I.2</t>
  </si>
  <si>
    <t>Các khoản đầu tư (kê chi tiết)</t>
  </si>
  <si>
    <t>2205</t>
  </si>
  <si>
    <t>I.3</t>
  </si>
  <si>
    <t>2220</t>
  </si>
  <si>
    <t>I.4</t>
  </si>
  <si>
    <t>Cổ tức, trái tức được nhận</t>
  </si>
  <si>
    <t>2206</t>
  </si>
  <si>
    <t>I.5</t>
  </si>
  <si>
    <t>Lãi được nhận</t>
  </si>
  <si>
    <t>2207</t>
  </si>
  <si>
    <t>I.6</t>
  </si>
  <si>
    <t>2221</t>
  </si>
  <si>
    <t>I.7</t>
  </si>
  <si>
    <t>Tiền bán chứng khoán chờ thu (kê chi tiết)</t>
  </si>
  <si>
    <t>2208</t>
  </si>
  <si>
    <t>I.8</t>
  </si>
  <si>
    <t>Các khoản phải thu khác</t>
  </si>
  <si>
    <t>2210</t>
  </si>
  <si>
    <t>Các tài sản khác</t>
  </si>
  <si>
    <t>2211</t>
  </si>
  <si>
    <t>Tổng tài sản</t>
  </si>
  <si>
    <t>2212</t>
  </si>
  <si>
    <t>II</t>
  </si>
  <si>
    <t>Nợ</t>
  </si>
  <si>
    <t>2213</t>
  </si>
  <si>
    <t>II.1</t>
  </si>
  <si>
    <t>2222</t>
  </si>
  <si>
    <t>II.2</t>
  </si>
  <si>
    <t>Tiền phải thanh toán mua chứng khoán (kê chi tiết)</t>
  </si>
  <si>
    <t>2214</t>
  </si>
  <si>
    <t>II.3</t>
  </si>
  <si>
    <t>Các khoản phải trả khác</t>
  </si>
  <si>
    <t>2215</t>
  </si>
  <si>
    <t>Tổng nợ</t>
  </si>
  <si>
    <t>2216</t>
  </si>
  <si>
    <t>2217</t>
  </si>
  <si>
    <t>2218</t>
  </si>
  <si>
    <t>2219</t>
  </si>
  <si>
    <t>Chỉ tiêu</t>
  </si>
  <si>
    <t>2223</t>
  </si>
  <si>
    <t>2224</t>
  </si>
  <si>
    <t>2225</t>
  </si>
  <si>
    <t>2226</t>
  </si>
  <si>
    <t>2227</t>
  </si>
  <si>
    <t>2231</t>
  </si>
  <si>
    <t>2232</t>
  </si>
  <si>
    <t>2228</t>
  </si>
  <si>
    <t>2229</t>
  </si>
  <si>
    <t>2230</t>
  </si>
  <si>
    <t>III</t>
  </si>
  <si>
    <t>2233</t>
  </si>
  <si>
    <t>IV</t>
  </si>
  <si>
    <t>2234</t>
  </si>
  <si>
    <t>2235</t>
  </si>
  <si>
    <t>Thay đổi về giá trị của các khoản đầu tư trong kỳ</t>
  </si>
  <si>
    <t>2236</t>
  </si>
  <si>
    <t>V</t>
  </si>
  <si>
    <t>2237</t>
  </si>
  <si>
    <t>VI</t>
  </si>
  <si>
    <t>2238</t>
  </si>
  <si>
    <t>VII</t>
  </si>
  <si>
    <t>2239</t>
  </si>
  <si>
    <t>2239.1</t>
  </si>
  <si>
    <t>VIII</t>
  </si>
  <si>
    <t>2243</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</si>
  <si>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</si>
  <si>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</si>
  <si>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</si>
  <si>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</si>
  <si>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</si>
  <si>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</si>
  <si>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</si>
  <si>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</si>
  <si>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</si>
  <si>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</si>
  <si>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</si>
  <si>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</si>
  <si>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</si>
  <si>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</si>
  <si>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</si>
  <si>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</si>
  <si>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</si>
  <si>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</si>
  <si>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</si>
  <si>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</si>
  <si>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</si>
  <si>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</si>
  <si>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</si>
  <si>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</si>
  <si>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</si>
  <si>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</si>
  <si>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</si>
  <si>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</si>
  <si>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</si>
  <si>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</si>
  <si>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</si>
  <si>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</si>
  <si>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</si>
  <si>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</si>
  <si>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</si>
  <si>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</si>
  <si>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</si>
  <si>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</si>
  <si>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</si>
  <si>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</si>
  <si>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</si>
  <si>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</si>
  <si>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</si>
  <si>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</si>
  <si>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</si>
  <si>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</si>
  <si>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</si>
  <si>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</si>
  <si>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</si>
  <si>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</si>
  <si>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</si>
  <si>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</si>
  <si>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</si>
  <si>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</si>
  <si>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</si>
  <si>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</si>
  <si>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</si>
  <si>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</si>
  <si>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</si>
  <si>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</si>
  <si>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</si>
  <si>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</si>
  <si>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</si>
  <si>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</si>
  <si>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</si>
  <si>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</si>
  <si>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</si>
  <si>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</si>
  <si>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</si>
  <si>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</si>
  <si>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</si>
  <si>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</si>
  <si>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</si>
  <si>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</si>
  <si>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</si>
  <si>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</si>
  <si>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</si>
  <si>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</si>
  <si>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</si>
  <si>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</si>
  <si>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</si>
  <si>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</si>
  <si>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</si>
  <si>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</si>
  <si>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</si>
  <si>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</si>
  <si>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</si>
  <si>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</si>
  <si>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</si>
  <si>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</si>
  <si>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</si>
  <si>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</si>
  <si>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</si>
  <si>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</si>
  <si>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</si>
  <si>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TMCP Đầu tư và Phát triển Việt Nam CN Nam Kỳ Khởi Nghĩa</t>
  </si>
  <si>
    <t>Nội dung
Indicator</t>
  </si>
  <si>
    <t>Mã chỉ tiêu
Code</t>
  </si>
  <si>
    <t>%/cùng kỳ năm trước
%/against last year</t>
  </si>
  <si>
    <t>TÀI SẢN
ASSETS</t>
  </si>
  <si>
    <t>Tiền và các khoản tương đương tiền
Cash and Cash Equivalents</t>
  </si>
  <si>
    <t xml:space="preserve">Tiền
Cash </t>
  </si>
  <si>
    <t>Tiền gửi ngân hàng
Cash at Bank</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</si>
  <si>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</si>
  <si>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</si>
  <si>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</si>
  <si>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</si>
  <si>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</si>
  <si>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</si>
  <si>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Các khoản tương đương tiền
Cash Equivalents</t>
  </si>
  <si>
    <t>2204</t>
  </si>
  <si>
    <t>Các khoản đầu tư (kê chi tiết)
Investments</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</si>
  <si>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</si>
  <si>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</si>
  <si>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</si>
  <si>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</si>
  <si>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</si>
  <si>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Quyền mua chứng khoán
Investments - Rights</t>
  </si>
  <si>
    <t>Cổ tức, trái tức được nhận
Dividend, Coupon Receivables</t>
  </si>
  <si>
    <t>2206.1</t>
  </si>
  <si>
    <t>2206.2</t>
  </si>
  <si>
    <t>Lãi được nhận
Interest Receivables</t>
  </si>
  <si>
    <t>Phải thu lãi tiền gửi có kỳ hạn
Interest receivable from term deposit</t>
  </si>
  <si>
    <t>2207.1</t>
  </si>
  <si>
    <t>Phải thu lãi chứng chỉ tiền gửi ghi danh
Interest receivable from registered Deposit Certificate</t>
  </si>
  <si>
    <t>2207.2</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</si>
  <si>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</si>
  <si>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</si>
  <si>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</si>
  <si>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</si>
  <si>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</si>
  <si>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</si>
  <si>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</si>
  <si>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</si>
  <si>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</si>
  <si>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</si>
  <si>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</si>
  <si>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</si>
  <si>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</si>
  <si>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</si>
  <si>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lưu ký - bảo quản tài sản
Custodian fee payable</t>
  </si>
  <si>
    <t>Phải trả phí quản trị quỹ
Fund Administration fee payable</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</si>
  <si>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</si>
  <si>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</si>
  <si>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</si>
  <si>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</si>
  <si>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</si>
  <si>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</si>
  <si>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</si>
  <si>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</si>
  <si>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</si>
  <si>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</si>
  <si>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</si>
  <si>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</si>
  <si>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</si>
  <si>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</si>
  <si>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</si>
  <si>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</si>
  <si>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</si>
  <si>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</si>
  <si>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</si>
  <si>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</si>
  <si>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</si>
  <si>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TỔNG NỢ
TOTAL LIABILITIES</t>
  </si>
  <si>
    <t>Tài sản ròng của Quỹ ( = I.8 - II.3)
Net Asset Value ( = I.8 - II.3)</t>
  </si>
  <si>
    <t>Tổng số chứng chỉ quỹ đang lưu hành
Total Outstanding Fund Certificates</t>
  </si>
  <si>
    <t>Giá trị tài sản ròng trên một đơn vị quỹ
Net Asset Value per Fund Certificate</t>
  </si>
  <si>
    <t>Chỉ tiêu
Indicator</t>
  </si>
  <si>
    <t>Lũy kế từ đầu năm
Accumulated from beginning of year</t>
  </si>
  <si>
    <t>Thu nhập từ hoạt động đầu tư
Income from Investment Activities</t>
  </si>
  <si>
    <t>Cổ tức, trái tức được nhận
Dividend, Coupon received</t>
  </si>
  <si>
    <t>2221.1</t>
  </si>
  <si>
    <t>2221.2</t>
  </si>
  <si>
    <t>Lãi được nhận
Income from Interest</t>
  </si>
  <si>
    <t>Các khoản thu nhập khác
Other income</t>
  </si>
  <si>
    <t>Chi phí
Expense</t>
  </si>
  <si>
    <t>Chi phí quản lý trả cho Công ty quản lý quỹ
Management Fee paid to Fund Management Company</t>
  </si>
  <si>
    <t>Phí dịch vụ lưu ký - bảo quản tài sản
Custodian service - Custody Fee</t>
  </si>
  <si>
    <t>2226.1</t>
  </si>
  <si>
    <t>Phí dịch vụ lưu ký - giao dịch chứng khoán
Custodian service - Transaction fee</t>
  </si>
  <si>
    <t>2226.2</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</si>
  <si>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</si>
  <si>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</si>
  <si>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</si>
  <si>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</si>
  <si>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</si>
  <si>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</si>
  <si>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</si>
  <si>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</si>
  <si>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</si>
  <si>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</si>
  <si>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</si>
  <si>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</si>
  <si>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</si>
  <si>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</si>
  <si>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</si>
  <si>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</si>
  <si>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</si>
  <si>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</si>
  <si>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</si>
  <si>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</si>
  <si>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</si>
  <si>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</si>
  <si>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</si>
  <si>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</si>
  <si>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</si>
  <si>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</si>
  <si>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</si>
  <si>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</si>
  <si>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chi phí khác
Other expenses</t>
  </si>
  <si>
    <t>Chi phí thiết lập Quỹ
Set up Expenses</t>
  </si>
  <si>
    <t>2232.1</t>
  </si>
  <si>
    <t>Phí niêm yết
Listing fee expenses</t>
  </si>
  <si>
    <t>2232.2</t>
  </si>
  <si>
    <t>Phí quản lý thường niên
Annual fee Expenses</t>
  </si>
  <si>
    <t>2232.3</t>
  </si>
  <si>
    <t>Phí ngân hàng
Bank charges</t>
  </si>
  <si>
    <t>2232.4</t>
  </si>
  <si>
    <t>2232.5</t>
  </si>
  <si>
    <t>Chi phí khác
Other Expenses</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</si>
  <si>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</si>
  <si>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</si>
  <si>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</si>
  <si>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</si>
  <si>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</si>
  <si>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</si>
  <si>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</si>
  <si>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</si>
  <si>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2240</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</si>
  <si>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</si>
  <si>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</si>
  <si>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giá trị tài sản ròng do phát hành thêm/mua lại chứng chỉ quỹ
Change of Net Asset Value due to subscription/redemption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</si>
  <si>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</si>
  <si>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</si>
  <si>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</si>
  <si>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</si>
  <si>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</si>
  <si>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</si>
  <si>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</si>
  <si>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</si>
  <si>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</si>
  <si>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</si>
  <si>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</si>
  <si>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</si>
  <si>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</si>
  <si>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</si>
  <si>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Quyền mua
Rights</t>
  </si>
  <si>
    <t>2253.1</t>
  </si>
  <si>
    <t>TỔNG CÁC LOẠI CHỨNG KHOÁN
SECURITIES INVESTMENT TOTAL</t>
  </si>
  <si>
    <t>CÁC TÀI SẢN KHÁC
OTHER ASSETS</t>
  </si>
  <si>
    <t>Cổ tức được nhận
Dividend receivables</t>
  </si>
  <si>
    <t>Lãi trái phiếu được nhận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</si>
  <si>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</si>
  <si>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</si>
  <si>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</si>
  <si>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</si>
  <si>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</si>
  <si>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</si>
  <si>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</si>
  <si>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Tổng giá trị danh mục 
Total value of portfolio</t>
  </si>
  <si>
    <t>CÁC CHỈ TIÊU VỀ HIỆU QUẢ HOẠT ĐỘNG
INVESTMENT PERFORMANCE INDICATORS</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</si>
  <si>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</si>
  <si>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</si>
  <si>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</si>
  <si>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</si>
  <si>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</si>
  <si>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</si>
  <si>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</si>
  <si>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</si>
  <si>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</si>
  <si>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</si>
  <si>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</si>
  <si>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</si>
  <si>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</si>
  <si>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</si>
  <si>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</si>
  <si>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</si>
  <si>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</si>
  <si>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</si>
  <si>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</si>
  <si>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</si>
  <si>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</si>
  <si>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</si>
  <si>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</si>
  <si>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</si>
  <si>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Giá trị tài sản ròng trên một đơn vị quỹ cuối tháng
Net asset value per Fund Certificate at the end of period</t>
  </si>
  <si>
    <t>Số nhà đầu tư tham gia vào quỹ, kể cả giao dịch ký danh
Number of investors of the Fund at the end of the period</t>
  </si>
  <si>
    <t>Tiền gửi ngân hàng có kỳ hạn trên 03 tháng
Deposits with term over three (03) months</t>
  </si>
  <si>
    <t>Trái phiếu niêm yết
Listed bond</t>
  </si>
  <si>
    <t>Trái phiếu chưa niêm yết
Unlisted bond</t>
  </si>
  <si>
    <t>2253.1.1</t>
  </si>
  <si>
    <t>Ngày 30 tháng 04 năm 2018
As at 30 Apr 2018</t>
  </si>
  <si>
    <t>checking</t>
  </si>
  <si>
    <t>SUB</t>
  </si>
  <si>
    <t>REDEMPTION</t>
  </si>
  <si>
    <t>Tháng 1</t>
  </si>
  <si>
    <t>Tháng 2</t>
  </si>
  <si>
    <t xml:space="preserve">                                                                                                                                                                                                                                                                                                                                                                                                                                                                                                                                                                                                                                                                                                                                                                                                                                                                                                                                                                                                                                                                                                                                                                                                                                                                                                                                                                                                                                                                                                                                                                                                                                                                                                                                                                                                                                                                                                                                                                                                                                                                                                                                                                                                                                                                                                                                                                                                                                                                                                                                                                                                                                                                                                                                                                                                                                                                                                                                                                                                                                                                                                                                                                                                                                                                                                                                                                                                                                                                                                                                                                                                                                                                                                                                                                                                                                                                                                                                                                                                                                                                                                                                                                                                                                                                                                                                                                                                                                                                                                                                                                                                                                                                                                                                                                                                                                                                                                                                                                                                                                                                                                                                                                                                                                                                                                                                                                                                                                                                                                                                                                                                                                                                                                                                                                                                                                                                                                                                                                                                                                                                                                                                                                                                                                                                                                                                                                                                                                                                                                                                                                                                                                                                                                                                                                                                                                                                                                                                                                                                                                                                                                                                                                                                                                                                                                                                                                                                                                                                                                                                                                                                                                                                                                                                                                                                                                                                                                                                                                                                                                                                                                                                                                                                                                                                                                                                                                                                                                                                                                                                                                                                                                                                                                                                                                                                                                                                                                                                                                                                                                                                                                                                                                                                                                                                                                                                                                                                                                                                                                                                                                                                                                                                                                                                                                                                                                                                                                                                                                                                                                                                                                                                                                                                                                                                                                                                                                                                                                                                                                                                                                                                                                                                                                                                                                                                                                                                                                                                                                                                                                                                                                                                                                                                                                                                                                                                                                                                                                                                                                                                                                                                                                                                                                                                                                                                                                                                                                                                                                                                                                                                                                                                                                                                                                                                                                                                                                                                                                                                                                                                                                                                                                                                                                                                                                                                                                                                                                                                                                                                                                                                                                                                                                                                                                                                                                                                                                                                                                                                                                                                                                                                                                                                                                                                                                                                                                                                                                                                                                                                                                                                                                                                                                                                                                                                                                                                                                                                                                                                                                                                                                                                                                                                                                                                                                                                                                                                                                                                                                                                                                                                                                                                                                                                                                                                                                                                                                                                                                                                                                                                                                                                                                                                                                                                                                                                                                                                                                                                                                                                                                                                                                                                                                                                                                                                                                                                                                                                                                                                                                                                                                                                                                                                                                                                                                                                                                                                                                                                                                                                                                                                                                                                                                                                                                                                                                                                                                                                                                                                                                                                                                                                                                                                                                                                                                                                                                                                                                                                                                                                                                                                                                                                                                                                                                                                                                                                                                                                                                                                                                                                                                                                                                                                                                                                                                                                                                                                                                                                                                                                                                                                                                                                                                                                                                                                                                                                                                                                                                                                                                                                                                                                                                                                                                                                                                                                                                                                                                                                                                                                                                                                                                                                                                                                                                                                                                                                                                                                                                                                                                                                                                                                                                                                                                                                                                                                                                                                                                                                                                                                                                                                                                                                                                           </t>
  </si>
  <si>
    <t>Tháng 3</t>
  </si>
  <si>
    <t>Tháng 4</t>
  </si>
  <si>
    <t>Tháng 5</t>
  </si>
  <si>
    <t>2239.2</t>
  </si>
  <si>
    <t>Tháng 6</t>
  </si>
  <si>
    <t>2239.3</t>
  </si>
  <si>
    <t>Tháng 7</t>
  </si>
  <si>
    <t>2239.4</t>
  </si>
  <si>
    <t>STT
No.</t>
  </si>
  <si>
    <t>Trái tức được nhận
Coupon Receivables</t>
  </si>
  <si>
    <t xml:space="preserve">     ACB</t>
  </si>
  <si>
    <t>2246.1</t>
  </si>
  <si>
    <t>2246.2</t>
  </si>
  <si>
    <t>2246.3</t>
  </si>
  <si>
    <t>2246.4</t>
  </si>
  <si>
    <t>2246.5</t>
  </si>
  <si>
    <t>2246.6</t>
  </si>
  <si>
    <t>2246.7</t>
  </si>
  <si>
    <t>2246.8</t>
  </si>
  <si>
    <t>2246.9</t>
  </si>
  <si>
    <t>2246.10</t>
  </si>
  <si>
    <t>2246.11</t>
  </si>
  <si>
    <t xml:space="preserve">     TCB</t>
  </si>
  <si>
    <t>Chỉ tiêu
Indicators</t>
  </si>
  <si>
    <t>Tỷ lệ giá dịch vụ quản lý quỹ trả cho công ty quản lý quỹ/Giá trị tài sản ròng trung bình trong kỳ (%)
Management fee paid to the fund management company/Average NAV (%)</t>
  </si>
  <si>
    <t>Tỷ lệ chi phí /Giá trị tài sản ròng trung bình trong kỳ (%)
Expense/Average NAV (%)</t>
  </si>
  <si>
    <t>2205.1</t>
  </si>
  <si>
    <t>2205.2</t>
  </si>
  <si>
    <t>2205.3</t>
  </si>
  <si>
    <t>2205.4</t>
  </si>
  <si>
    <t>2205.5</t>
  </si>
  <si>
    <t>2205.6</t>
  </si>
  <si>
    <t>2215.1</t>
  </si>
  <si>
    <t>2215.2</t>
  </si>
  <si>
    <t>2215.3</t>
  </si>
  <si>
    <t>2215.4</t>
  </si>
  <si>
    <t>2215.5</t>
  </si>
  <si>
    <t>2215.6</t>
  </si>
  <si>
    <t>2215.7</t>
  </si>
  <si>
    <t>2215.8</t>
  </si>
  <si>
    <t>2215.9</t>
  </si>
  <si>
    <t>2215.20</t>
  </si>
  <si>
    <t>2232.6</t>
  </si>
  <si>
    <t>Tiền, tương đương tiền
Cash, Cash Equivalents</t>
  </si>
  <si>
    <t xml:space="preserve">     VPB</t>
  </si>
  <si>
    <t xml:space="preserve">     QNS</t>
  </si>
  <si>
    <t xml:space="preserve">     VIB</t>
  </si>
  <si>
    <t xml:space="preserve">     VNM</t>
  </si>
  <si>
    <t>1. Tên Công ty quản lý quỹ: Công ty TNHH Quản Lý Quỹ Thành Công</t>
  </si>
  <si>
    <t>3. Tên Quỹ: Quỹ Đầu Tư Tăng trưởng Thành Công</t>
  </si>
  <si>
    <t>STT
No</t>
  </si>
  <si>
    <t xml:space="preserve">Cổ tức được nhận
Dividend received
</t>
  </si>
  <si>
    <t xml:space="preserve">Trái tức được nhận
Coupon received
</t>
  </si>
  <si>
    <t>Phí thiết kế, in ấn, gửi thư…..
Designing, printing, posting…expenses</t>
  </si>
  <si>
    <t>2230.5</t>
  </si>
  <si>
    <t>2231.3</t>
  </si>
  <si>
    <t>2241</t>
  </si>
  <si>
    <t>2242</t>
  </si>
  <si>
    <t>2239.11</t>
  </si>
  <si>
    <t>2239.22</t>
  </si>
  <si>
    <t xml:space="preserve">     QTP</t>
  </si>
  <si>
    <t xml:space="preserve">     VCI</t>
  </si>
  <si>
    <t xml:space="preserve">     VEA</t>
  </si>
  <si>
    <t xml:space="preserve">     BWE</t>
  </si>
  <si>
    <t xml:space="preserve">     DPM</t>
  </si>
  <si>
    <t xml:space="preserve">     HPG</t>
  </si>
  <si>
    <t xml:space="preserve">     PNJ</t>
  </si>
  <si>
    <t xml:space="preserve">     SIP</t>
  </si>
  <si>
    <t>2246.12</t>
  </si>
  <si>
    <t>2246.13</t>
  </si>
  <si>
    <t xml:space="preserve">     VIP</t>
  </si>
  <si>
    <t>2246.14</t>
  </si>
  <si>
    <t>2246.15</t>
  </si>
  <si>
    <t>2246.16</t>
  </si>
  <si>
    <t xml:space="preserve">     VTO</t>
  </si>
  <si>
    <t>2246.17</t>
  </si>
  <si>
    <t>Phí dịch vụ lưu ký tại VSDC
Custodian fee at VSDC</t>
  </si>
  <si>
    <t>Chi phí lưu ký, giám sát trả cho Ngân hàng Giám sát/VSDC
Custody fee, Supervising fee paid to Supervising Bank/VSDC</t>
  </si>
  <si>
    <t>Phí thực hiện quyền trả cho VSDC
Payables to VSDC for getting the list of investors</t>
  </si>
  <si>
    <t>Ngày 31 tháng 12 năm 2024
As at 31 December 2024</t>
  </si>
  <si>
    <t>Tháng 12 năm 2024 December 2024</t>
  </si>
  <si>
    <t xml:space="preserve">     BVH</t>
  </si>
  <si>
    <t>Ngày 31 tháng 01 năm 2025
As at 31 January 2025</t>
  </si>
  <si>
    <t>4. Ngày lập báo cáo: 06/02/2025</t>
  </si>
  <si>
    <t>Tháng 01 năm 2025 January 2025</t>
  </si>
  <si>
    <t>Tháng 01 năm 2025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</si>
</sst>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charset val="163"/>
    </font>
    <font>
      <sz val="12"/>
      <name val="Times New Roman"/>
      <family val="1"/>
      <charset val="163"/>
    </font>
    <font>
      <sz val="12"/>
      <name val="Times New Roman"/>
      <family val="1"/>
      <charset val="163"/>
    </font>
    <font>
      <b/>
      <sz val="12"/>
      <name val="Times New Roman"/>
      <family val="1"/>
      <charset val="163"/>
    </font>
    <font>
      <sz val="12"/>
      <name val="Times New Roman"/>
      <family val="1"/>
      <charset val="163"/>
    </font>
    <font>
      <sz val="12"/>
      <name val="Times New Roman"/>
      <family val="1"/>
      <charset val="163"/>
    </font>
    <font>
      <b/>
      <i/>
      <sz val="12"/>
      <name val="Times New Roman"/>
      <family val="1"/>
      <charset val="163"/>
    </font>
    <font>
      <b/>
      <sz val="12"/>
      <name val="Times New Roman"/>
      <family val="1"/>
      <charset val="163"/>
    </font>
    <font>
      <i/>
      <sz val="12"/>
      <name val="Times New Roman"/>
      <family val="1"/>
      <charset val="163"/>
    </font>
    <font>
      <b/>
      <sz val="12"/>
      <name val="Times New Roman"/>
      <family val="1"/>
      <charset val="163"/>
    </font>
    <font>
      <b/>
      <sz val="12"/>
      <name val="Times New Roman"/>
      <family val="1"/>
      <charset val="163"/>
    </font>
    <font>
      <sz val="10"/>
      <name val="Arial"/>
      <family val="2"/>
    </font>
    <font>
      <sz val="10"/>
      <name val="Tahoma"/>
      <family val="2"/>
    </font>
    <font>
      <b/>
      <sz val="10"/>
      <name val="Tahoma"/>
      <family val="2"/>
    </font>
    <font>
      <sz val="10"/>
      <color indexed="8"/>
      <name val="Arial"/>
      <family val="2"/>
    </font>
    <font>
      <i/>
      <sz val="10"/>
      <name val="Tahoma"/>
      <family val="2"/>
    </font>
    <font>
      <b/>
      <sz val="11"/>
      <name val="Tahoma"/>
      <family val="2"/>
    </font>
    <font>
      <sz val="11"/>
      <name val="Tahoma"/>
      <family val="2"/>
    </font>
    <font>
      <sz val="11"/>
      <name val="Times New Roman"/>
      <family val="1"/>
    </font>
    <font>
      <sz val="11"/>
      <color theme="1"/>
      <name val="Calibri"/>
      <family val="2"/>
      <scheme val="minor"/>
    </font>
    <font>
      <b/>
      <sz val="10"/>
      <color theme="1"/>
      <name val="Tahoma"/>
      <family val="2"/>
    </font>
    <font>
      <sz val="10"/>
      <color theme="1"/>
      <name val="Tahoma"/>
      <family val="2"/>
    </font>
    <font>
      <sz val="10"/>
      <color rgb="FFFF0000"/>
      <name val="Tahoma"/>
      <family val="2"/>
    </font>
    <font>
      <sz val="11"/>
      <color theme="1"/>
      <name val="Tahoma"/>
      <family val="2"/>
    </font>
    <font>
      <b/>
      <sz val="11"/>
      <color theme="1"/>
      <name val="Tahoma"/>
      <family val="2"/>
    </font>
    <font>
      <b/>
      <sz val="10"/>
      <color theme="1" tint="4.9989318521683403E-2"/>
      <name val="Tahoma"/>
      <family val="2"/>
    </font>
    <font>
      <b/>
      <sz val="10"/>
      <color rgb="FFFF0000"/>
      <name val="Tahoma"/>
      <family val="2"/>
    </font>
    <font>
      <b/>
      <sz val="11"/>
      <color rgb="FFFF0000"/>
      <name val="Tahoma"/>
      <family val="2"/>
    </font>
    <font>
      <sz val="11"/>
      <color rgb="FFFF0000"/>
      <name val="Tahoma"/>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5">
    <xf numFmtId="0" fontId="0" fillId="0" borderId="0"/>
    <xf numFmtId="43" fontId="4" fillId="0" borderId="0" applyFont="0" applyFill="0" applyBorder="0" applyAlignment="0" applyProtection="0"/>
    <xf numFmtId="43" fontId="24" fillId="0" borderId="0" applyFont="0" applyFill="0" applyBorder="0" applyAlignment="0" applyProtection="0"/>
    <xf numFmtId="0" fontId="16" fillId="0" borderId="0"/>
    <xf numFmtId="0" fontId="16" fillId="0" borderId="0"/>
    <xf numFmtId="0" fontId="16" fillId="0" borderId="0"/>
    <xf numFmtId="0" fontId="24" fillId="0" borderId="0"/>
    <xf numFmtId="0" fontId="19" fillId="0" borderId="0">
      <alignment vertical="top"/>
    </xf>
    <xf numFmtId="0" fontId="23" fillId="0" borderId="0"/>
    <xf numFmtId="9" fontId="4" fillId="0" borderId="0" applyFont="0" applyFill="0" applyBorder="0" applyAlignment="0" applyProtection="0"/>
    <xf numFmtId="9" fontId="2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4" fillId="0" borderId="0"/>
    <xf numFmtId="16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3">
    <xf numFmtId="0" fontId="0" fillId="0" borderId="0" xfId="0"/>
    <xf numFmtId="0" fontId="6" fillId="0" borderId="0" xfId="0" applyFont="1" applyAlignment="1">
      <alignment horizontal="left"/>
    </xf>
    <xf numFmtId="0" fontId="7" fillId="0" borderId="0" xfId="0" applyFont="1" applyAlignment="1">
      <alignment horizontal="right"/>
    </xf>
    <xf numFmtId="0" fontId="8" fillId="0" borderId="1" xfId="0" applyFont="1" applyBorder="1" applyAlignment="1">
      <alignment horizontal="center" vertical="justify"/>
    </xf>
    <xf numFmtId="0" fontId="9" fillId="0" borderId="1" xfId="0" applyFont="1" applyBorder="1" applyAlignment="1">
      <alignment horizontal="center"/>
    </xf>
    <xf numFmtId="0" fontId="10" fillId="0" borderId="1" xfId="0" applyFont="1" applyBorder="1" applyAlignment="1">
      <alignment horizontal="left"/>
    </xf>
    <xf numFmtId="0" fontId="11" fillId="0" borderId="0" xfId="0" applyFont="1" applyAlignment="1">
      <alignment horizontal="left"/>
    </xf>
    <xf numFmtId="0" fontId="14" fillId="2" borderId="1" xfId="0" applyFont="1" applyFill="1" applyBorder="1" applyAlignment="1">
      <alignment horizontal="center" vertical="justify"/>
    </xf>
    <xf numFmtId="0" fontId="15" fillId="0" borderId="1" xfId="0" applyFont="1" applyBorder="1" applyAlignment="1">
      <alignment horizontal="left"/>
    </xf>
    <xf numFmtId="14" fontId="6" fillId="0" borderId="0" xfId="0" applyNumberFormat="1" applyFont="1" applyAlignment="1">
      <alignment horizontal="left"/>
    </xf>
    <xf numFmtId="165" fontId="17" fillId="3" borderId="2" xfId="1" applyNumberFormat="1" applyFont="1" applyFill="1" applyBorder="1" applyAlignment="1" applyProtection="1">
      <alignment horizontal="left" vertical="center" wrapText="1"/>
      <protection locked="0"/>
    </xf>
    <xf numFmtId="165" fontId="18" fillId="4" borderId="2" xfId="1" applyNumberFormat="1" applyFont="1" applyFill="1" applyBorder="1" applyAlignment="1" applyProtection="1">
      <alignment horizontal="center" vertical="center" wrapText="1"/>
    </xf>
    <xf numFmtId="10" fontId="18" fillId="4" borderId="2" xfId="9" applyNumberFormat="1" applyFont="1" applyFill="1" applyBorder="1" applyAlignment="1" applyProtection="1">
      <alignment horizontal="center" vertical="center" wrapText="1"/>
    </xf>
    <xf numFmtId="0" fontId="18" fillId="5" borderId="2" xfId="0" applyFont="1" applyFill="1" applyBorder="1" applyAlignment="1">
      <alignment horizontal="center" vertical="center"/>
    </xf>
    <xf numFmtId="165" fontId="17" fillId="5" borderId="2" xfId="1" applyNumberFormat="1" applyFont="1" applyFill="1" applyBorder="1" applyAlignment="1" applyProtection="1">
      <alignment horizontal="left" vertical="center" wrapText="1"/>
      <protection locked="0"/>
    </xf>
    <xf numFmtId="165" fontId="17" fillId="5"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165" fontId="17" fillId="3" borderId="3" xfId="1" applyNumberFormat="1" applyFont="1" applyFill="1" applyBorder="1" applyAlignment="1" applyProtection="1">
      <alignment horizontal="left" vertical="center" wrapText="1"/>
      <protection locked="0"/>
    </xf>
    <xf numFmtId="165" fontId="18" fillId="5" borderId="2" xfId="1" applyNumberFormat="1" applyFont="1" applyFill="1" applyBorder="1" applyAlignment="1" applyProtection="1">
      <alignment horizontal="left" vertical="center" wrapText="1"/>
      <protection locked="0"/>
    </xf>
    <xf numFmtId="165" fontId="17" fillId="0" borderId="2" xfId="1" applyNumberFormat="1" applyFont="1" applyFill="1" applyBorder="1" applyAlignment="1" applyProtection="1">
      <alignment horizontal="left" vertical="center" wrapText="1"/>
      <protection locked="0"/>
    </xf>
    <xf numFmtId="9" fontId="21" fillId="5" borderId="2" xfId="9" applyFont="1" applyFill="1" applyBorder="1" applyAlignment="1" applyProtection="1">
      <alignment vertical="center"/>
      <protection locked="0"/>
    </xf>
    <xf numFmtId="0" fontId="6" fillId="0" borderId="0" xfId="0" applyFont="1" applyAlignment="1">
      <alignment horizontal="left"/>
    </xf>
    <xf numFmtId="0" fontId="28" fillId="5" borderId="0" xfId="11" applyFont="1" applyFill="1"/>
    <xf numFmtId="10" fontId="30" fillId="4" borderId="0" xfId="9" applyNumberFormat="1" applyFont="1" applyFill="1" applyBorder="1" applyAlignment="1" applyProtection="1">
      <alignment horizontal="center" vertical="center" wrapText="1"/>
    </xf>
    <xf numFmtId="165" fontId="30" fillId="4" borderId="2" xfId="1" applyNumberFormat="1" applyFont="1" applyFill="1" applyBorder="1" applyAlignment="1" applyProtection="1">
      <alignment horizontal="center" vertical="center" wrapText="1"/>
    </xf>
    <xf numFmtId="9" fontId="17" fillId="5" borderId="0" xfId="4" applyNumberFormat="1" applyFont="1" applyFill="1" applyBorder="1" applyAlignment="1" applyProtection="1">
      <alignment horizontal="left" vertical="center" wrapText="1"/>
    </xf>
    <xf numFmtId="165" fontId="17" fillId="7" borderId="2" xfId="12" applyNumberFormat="1" applyFont="1" applyFill="1" applyBorder="1" applyAlignment="1" applyProtection="1">
      <alignment horizontal="left" vertical="center" wrapText="1"/>
    </xf>
    <xf numFmtId="10" fontId="17" fillId="0" borderId="0" xfId="9" applyNumberFormat="1" applyFont="1" applyFill="1" applyBorder="1" applyAlignment="1" applyProtection="1">
      <alignment horizontal="right" wrapText="1"/>
      <protection locked="0"/>
    </xf>
    <xf numFmtId="10" fontId="17" fillId="3" borderId="0" xfId="9" applyNumberFormat="1" applyFont="1" applyFill="1" applyBorder="1" applyAlignment="1" applyProtection="1">
      <alignment horizontal="right" wrapText="1"/>
      <protection locked="0"/>
    </xf>
    <xf numFmtId="41" fontId="17" fillId="0" borderId="0" xfId="11" applyNumberFormat="1" applyFont="1" applyFill="1" applyBorder="1" applyAlignment="1" applyProtection="1">
      <alignment horizontal="right" wrapText="1"/>
    </xf>
    <xf numFmtId="165" fontId="31" fillId="7" borderId="0" xfId="1" applyNumberFormat="1" applyFont="1" applyFill="1" applyProtection="1">
      <protection locked="0"/>
    </xf>
    <xf numFmtId="0" fontId="32" fillId="5" borderId="0" xfId="11" applyFont="1" applyFill="1"/>
    <xf numFmtId="10" fontId="18" fillId="5" borderId="0" xfId="9" applyNumberFormat="1" applyFont="1" applyFill="1" applyBorder="1" applyAlignment="1" applyProtection="1">
      <alignment horizontal="right" wrapText="1"/>
      <protection locked="0"/>
    </xf>
    <xf numFmtId="165" fontId="32" fillId="5" borderId="0" xfId="1" applyNumberFormat="1" applyFont="1" applyFill="1" applyProtection="1">
      <protection locked="0"/>
    </xf>
    <xf numFmtId="43" fontId="32" fillId="5" borderId="0" xfId="11" applyNumberFormat="1" applyFont="1" applyFill="1"/>
    <xf numFmtId="43" fontId="29" fillId="5" borderId="0" xfId="11" applyNumberFormat="1" applyFont="1" applyFill="1"/>
    <xf numFmtId="165" fontId="17" fillId="5" borderId="2" xfId="12" applyNumberFormat="1" applyFont="1" applyFill="1" applyBorder="1" applyAlignment="1" applyProtection="1">
      <alignment horizontal="left" vertical="center" wrapText="1"/>
    </xf>
    <xf numFmtId="10" fontId="17" fillId="5" borderId="0" xfId="13" applyNumberFormat="1" applyFont="1" applyFill="1" applyBorder="1" applyAlignment="1" applyProtection="1">
      <alignment horizontal="right" wrapText="1"/>
    </xf>
    <xf numFmtId="41" fontId="32" fillId="5" borderId="0" xfId="11" applyNumberFormat="1" applyFont="1" applyFill="1"/>
    <xf numFmtId="0" fontId="28" fillId="0" borderId="0" xfId="11" applyFont="1" applyFill="1"/>
    <xf numFmtId="10" fontId="27" fillId="0" borderId="0" xfId="9" applyNumberFormat="1" applyFont="1" applyFill="1" applyBorder="1" applyAlignment="1" applyProtection="1">
      <alignment horizontal="right" wrapText="1"/>
      <protection locked="0"/>
    </xf>
    <xf numFmtId="0" fontId="33" fillId="5" borderId="0" xfId="11" applyFont="1" applyFill="1"/>
    <xf numFmtId="165" fontId="27" fillId="7" borderId="2" xfId="12" applyNumberFormat="1" applyFont="1" applyFill="1" applyBorder="1" applyAlignment="1" applyProtection="1">
      <alignment horizontal="left" vertical="center" wrapText="1"/>
    </xf>
    <xf numFmtId="41" fontId="28" fillId="5" borderId="0" xfId="11" applyNumberFormat="1" applyFont="1" applyFill="1"/>
    <xf numFmtId="43" fontId="17" fillId="7" borderId="2" xfId="12" applyNumberFormat="1" applyFont="1" applyFill="1" applyBorder="1" applyAlignment="1" applyProtection="1">
      <alignment horizontal="left" vertical="center" wrapText="1"/>
    </xf>
    <xf numFmtId="0" fontId="28" fillId="8" borderId="0" xfId="11" applyFont="1" applyFill="1" applyBorder="1"/>
    <xf numFmtId="165" fontId="17" fillId="5" borderId="0" xfId="12" applyNumberFormat="1" applyFont="1" applyFill="1"/>
    <xf numFmtId="0" fontId="28" fillId="7" borderId="0" xfId="14" applyFont="1" applyFill="1"/>
    <xf numFmtId="0" fontId="22" fillId="7" borderId="0" xfId="14" applyFont="1" applyFill="1"/>
    <xf numFmtId="165" fontId="22" fillId="7" borderId="0" xfId="14" applyNumberFormat="1" applyFont="1" applyFill="1"/>
    <xf numFmtId="165" fontId="28" fillId="7" borderId="0" xfId="14" applyNumberFormat="1" applyFont="1" applyFill="1"/>
    <xf numFmtId="41" fontId="32" fillId="7" borderId="0" xfId="14" applyNumberFormat="1" applyFont="1" applyFill="1"/>
    <xf numFmtId="41" fontId="22" fillId="7" borderId="0" xfId="14" applyNumberFormat="1" applyFont="1" applyFill="1"/>
    <xf numFmtId="0" fontId="29" fillId="7" borderId="0" xfId="14" applyFont="1" applyFill="1"/>
    <xf numFmtId="0" fontId="26" fillId="7" borderId="5" xfId="14" applyFont="1" applyFill="1" applyBorder="1"/>
    <xf numFmtId="165" fontId="26" fillId="7" borderId="6" xfId="1" applyNumberFormat="1" applyFont="1" applyFill="1" applyBorder="1" applyProtection="1">
      <protection locked="0"/>
    </xf>
    <xf numFmtId="165" fontId="26" fillId="7" borderId="7" xfId="1" applyNumberFormat="1" applyFont="1" applyFill="1" applyBorder="1" applyProtection="1">
      <protection locked="0"/>
    </xf>
    <xf numFmtId="165" fontId="22" fillId="7" borderId="0" xfId="1" applyNumberFormat="1" applyFont="1" applyFill="1" applyProtection="1">
      <protection locked="0"/>
    </xf>
    <xf numFmtId="165" fontId="28" fillId="7" borderId="0" xfId="1" applyNumberFormat="1" applyFont="1" applyFill="1" applyProtection="1">
      <protection locked="0"/>
    </xf>
    <xf numFmtId="0" fontId="26" fillId="7" borderId="4" xfId="14" applyFont="1" applyFill="1" applyBorder="1"/>
    <xf numFmtId="165" fontId="26" fillId="7" borderId="0" xfId="1" applyNumberFormat="1" applyFont="1" applyFill="1" applyBorder="1" applyProtection="1">
      <protection locked="0"/>
    </xf>
    <xf numFmtId="165" fontId="26" fillId="7" borderId="8" xfId="1" applyNumberFormat="1" applyFont="1" applyFill="1" applyBorder="1" applyProtection="1">
      <protection locked="0"/>
    </xf>
    <xf numFmtId="165" fontId="17" fillId="7" borderId="0" xfId="15" applyNumberFormat="1" applyFont="1" applyFill="1"/>
    <xf numFmtId="0" fontId="28" fillId="7" borderId="0" xfId="16" applyFont="1" applyFill="1"/>
    <xf numFmtId="0" fontId="26" fillId="7" borderId="0" xfId="16" applyFont="1" applyFill="1"/>
    <xf numFmtId="0" fontId="26" fillId="0" borderId="0" xfId="16" applyFont="1" applyFill="1"/>
    <xf numFmtId="0" fontId="25" fillId="7" borderId="0" xfId="16" applyFont="1" applyFill="1"/>
    <xf numFmtId="0" fontId="26" fillId="8" borderId="0" xfId="16" applyFont="1" applyFill="1"/>
    <xf numFmtId="0" fontId="28" fillId="0" borderId="0" xfId="16" applyFont="1" applyAlignment="1">
      <alignment horizontal="center"/>
    </xf>
    <xf numFmtId="0" fontId="28" fillId="0" borderId="0" xfId="16" applyFont="1"/>
    <xf numFmtId="0" fontId="28" fillId="7" borderId="0" xfId="19" applyFont="1" applyFill="1"/>
    <xf numFmtId="0" fontId="26" fillId="7" borderId="0" xfId="19" applyFont="1" applyFill="1"/>
    <xf numFmtId="0" fontId="26" fillId="0" borderId="0" xfId="19" applyFont="1" applyFill="1"/>
    <xf numFmtId="0" fontId="28" fillId="0" borderId="0" xfId="19" applyFont="1"/>
    <xf numFmtId="0" fontId="17" fillId="3" borderId="2" xfId="6" applyFont="1" applyFill="1" applyBorder="1" applyAlignment="1">
      <alignment horizontal="center" vertical="center"/>
    </xf>
    <xf numFmtId="0" fontId="17" fillId="0" borderId="2" xfId="6" applyFont="1" applyFill="1" applyBorder="1" applyAlignment="1">
      <alignment horizontal="center" vertical="center"/>
    </xf>
    <xf numFmtId="0" fontId="18" fillId="5" borderId="2" xfId="6" applyFont="1" applyFill="1" applyBorder="1" applyAlignment="1">
      <alignment horizontal="center" vertical="center"/>
    </xf>
    <xf numFmtId="165" fontId="22" fillId="5" borderId="2" xfId="2" applyNumberFormat="1" applyFont="1" applyFill="1" applyBorder="1" applyAlignment="1">
      <alignment vertical="center"/>
    </xf>
    <xf numFmtId="43" fontId="22" fillId="5" borderId="2" xfId="2" applyNumberFormat="1" applyFont="1" applyFill="1" applyBorder="1" applyAlignment="1">
      <alignment vertical="center"/>
    </xf>
    <xf numFmtId="165" fontId="22" fillId="0" borderId="2" xfId="2" applyNumberFormat="1" applyFont="1" applyFill="1" applyBorder="1" applyAlignment="1">
      <alignment vertical="center"/>
    </xf>
    <xf numFmtId="10" fontId="22" fillId="0" borderId="2" xfId="10" applyNumberFormat="1" applyFont="1" applyFill="1" applyBorder="1" applyAlignment="1">
      <alignment horizontal="right" vertical="center"/>
    </xf>
    <xf numFmtId="9" fontId="22" fillId="5" borderId="2" xfId="10" applyFont="1" applyFill="1" applyBorder="1" applyAlignment="1">
      <alignment vertical="center"/>
    </xf>
    <xf numFmtId="165" fontId="22" fillId="6" borderId="2" xfId="2" applyNumberFormat="1" applyFont="1" applyFill="1" applyBorder="1" applyAlignment="1">
      <alignment vertical="center"/>
    </xf>
    <xf numFmtId="9" fontId="22" fillId="5" borderId="2" xfId="10" applyFont="1" applyFill="1" applyBorder="1" applyAlignment="1">
      <alignment horizontal="right" vertical="center"/>
    </xf>
    <xf numFmtId="0" fontId="22" fillId="0" borderId="2" xfId="6" applyNumberFormat="1" applyFont="1" applyFill="1" applyBorder="1" applyAlignment="1" applyProtection="1">
      <alignment horizontal="center" vertical="center" wrapText="1"/>
    </xf>
    <xf numFmtId="165" fontId="21" fillId="5" borderId="2" xfId="2" applyNumberFormat="1" applyFont="1" applyFill="1" applyBorder="1" applyAlignment="1">
      <alignment vertical="center"/>
    </xf>
    <xf numFmtId="10" fontId="21" fillId="5" borderId="2" xfId="10" applyNumberFormat="1" applyFont="1" applyFill="1" applyBorder="1" applyAlignment="1">
      <alignment vertical="center"/>
    </xf>
    <xf numFmtId="165" fontId="22" fillId="3" borderId="2" xfId="2" applyNumberFormat="1" applyFont="1" applyFill="1" applyBorder="1" applyAlignment="1">
      <alignment vertical="center"/>
    </xf>
    <xf numFmtId="0" fontId="18" fillId="4" borderId="2" xfId="0" applyNumberFormat="1" applyFont="1" applyFill="1" applyBorder="1" applyAlignment="1" applyProtection="1">
      <alignment horizontal="center" vertical="center" wrapText="1"/>
    </xf>
    <xf numFmtId="49" fontId="17" fillId="5" borderId="2" xfId="6" applyNumberFormat="1" applyFont="1" applyFill="1" applyBorder="1" applyAlignment="1" applyProtection="1">
      <alignment horizontal="center" vertical="center" wrapText="1"/>
    </xf>
    <xf numFmtId="0" fontId="17" fillId="5" borderId="2" xfId="6" applyNumberFormat="1" applyFont="1" applyFill="1" applyBorder="1" applyAlignment="1" applyProtection="1">
      <alignment horizontal="left" vertical="center" wrapText="1"/>
    </xf>
    <xf numFmtId="0" fontId="17" fillId="5" borderId="2" xfId="6" applyFont="1" applyFill="1" applyBorder="1" applyAlignment="1" applyProtection="1">
      <alignment horizontal="left" vertical="center" wrapText="1"/>
    </xf>
    <xf numFmtId="0" fontId="17" fillId="3" borderId="2" xfId="0" applyNumberFormat="1" applyFont="1" applyFill="1" applyBorder="1" applyAlignment="1" applyProtection="1">
      <alignment horizontal="left" vertical="center" wrapText="1"/>
    </xf>
    <xf numFmtId="49" fontId="17" fillId="3" borderId="2" xfId="6" applyNumberFormat="1" applyFont="1" applyFill="1" applyBorder="1" applyAlignment="1" applyProtection="1">
      <alignment horizontal="center" vertical="center" wrapText="1"/>
    </xf>
    <xf numFmtId="10" fontId="17" fillId="3" borderId="2" xfId="2" applyNumberFormat="1" applyFont="1" applyFill="1" applyBorder="1" applyAlignment="1" applyProtection="1">
      <alignment horizontal="right" vertical="center" wrapText="1"/>
    </xf>
    <xf numFmtId="10" fontId="17" fillId="0" borderId="2" xfId="2"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left" vertical="center" wrapText="1"/>
    </xf>
    <xf numFmtId="49" fontId="17" fillId="0" borderId="2" xfId="6" applyNumberFormat="1" applyFont="1" applyFill="1" applyBorder="1" applyAlignment="1" applyProtection="1">
      <alignment horizontal="center" vertical="center" wrapText="1"/>
    </xf>
    <xf numFmtId="0" fontId="18" fillId="5" borderId="2" xfId="0" applyNumberFormat="1" applyFont="1" applyFill="1" applyBorder="1" applyAlignment="1" applyProtection="1">
      <alignment horizontal="left" vertical="center" wrapText="1"/>
    </xf>
    <xf numFmtId="165" fontId="17" fillId="3" borderId="2" xfId="1" applyNumberFormat="1" applyFont="1" applyFill="1" applyBorder="1" applyAlignment="1" applyProtection="1">
      <alignment vertical="center" wrapText="1"/>
      <protection locked="0"/>
    </xf>
    <xf numFmtId="43" fontId="17" fillId="3" borderId="2" xfId="1" applyFont="1" applyFill="1" applyBorder="1" applyAlignment="1" applyProtection="1">
      <alignment horizontal="left" vertical="center" wrapText="1"/>
      <protection locked="0"/>
    </xf>
    <xf numFmtId="43" fontId="17" fillId="3" borderId="2" xfId="1" applyNumberFormat="1" applyFont="1" applyFill="1" applyBorder="1" applyAlignment="1" applyProtection="1">
      <alignment horizontal="left" vertical="center" wrapText="1"/>
      <protection locked="0"/>
    </xf>
    <xf numFmtId="43" fontId="17" fillId="0" borderId="2" xfId="1" applyFont="1" applyFill="1" applyBorder="1" applyAlignment="1" applyProtection="1">
      <alignment horizontal="left" vertical="center" wrapText="1"/>
      <protection locked="0"/>
    </xf>
    <xf numFmtId="10" fontId="17" fillId="0" borderId="2" xfId="0" applyNumberFormat="1" applyFont="1" applyFill="1" applyBorder="1" applyAlignment="1">
      <alignment vertical="center"/>
    </xf>
    <xf numFmtId="10" fontId="17" fillId="0" borderId="2" xfId="9" applyNumberFormat="1" applyFont="1" applyFill="1" applyBorder="1" applyAlignment="1" applyProtection="1">
      <alignment horizontal="right" vertical="center" wrapText="1"/>
      <protection locked="0"/>
    </xf>
    <xf numFmtId="0" fontId="22" fillId="0" borderId="0" xfId="19" applyFont="1"/>
    <xf numFmtId="0" fontId="28" fillId="9" borderId="0" xfId="11" applyFont="1" applyFill="1"/>
    <xf numFmtId="49" fontId="18" fillId="4" borderId="2" xfId="0" applyNumberFormat="1" applyFont="1" applyFill="1" applyBorder="1" applyAlignment="1" applyProtection="1">
      <alignment horizontal="center" vertical="center" wrapText="1"/>
    </xf>
    <xf numFmtId="10" fontId="22" fillId="0" borderId="2" xfId="9" applyNumberFormat="1" applyFont="1" applyFill="1" applyBorder="1" applyAlignment="1" applyProtection="1">
      <alignment horizontal="right" vertical="center"/>
      <protection locked="0"/>
    </xf>
    <xf numFmtId="165" fontId="17" fillId="3" borderId="2" xfId="1"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right" vertical="center" wrapText="1"/>
      <protection locked="0"/>
    </xf>
    <xf numFmtId="43" fontId="26" fillId="0" borderId="2" xfId="1" applyNumberFormat="1" applyFont="1" applyFill="1" applyBorder="1" applyAlignment="1" applyProtection="1">
      <alignment vertical="center" wrapText="1"/>
      <protection locked="0"/>
    </xf>
    <xf numFmtId="0" fontId="18" fillId="4" borderId="2" xfId="28" applyNumberFormat="1" applyFont="1" applyFill="1" applyBorder="1" applyAlignment="1" applyProtection="1">
      <alignment horizontal="center" vertical="center" wrapText="1"/>
    </xf>
    <xf numFmtId="49" fontId="18" fillId="5" borderId="2" xfId="28" applyNumberFormat="1" applyFont="1" applyFill="1" applyBorder="1" applyAlignment="1" applyProtection="1">
      <alignment horizontal="left" vertical="center" wrapText="1"/>
    </xf>
    <xf numFmtId="49" fontId="17" fillId="5" borderId="2" xfId="28" applyNumberFormat="1" applyFont="1" applyFill="1" applyBorder="1" applyAlignment="1" applyProtection="1">
      <alignment horizontal="center" vertical="center" wrapText="1"/>
    </xf>
    <xf numFmtId="49" fontId="17" fillId="0" borderId="2" xfId="28" applyNumberFormat="1" applyFont="1" applyFill="1" applyBorder="1" applyAlignment="1" applyProtection="1">
      <alignment horizontal="left" vertical="center" wrapText="1"/>
    </xf>
    <xf numFmtId="49" fontId="17" fillId="3" borderId="2" xfId="28" applyNumberFormat="1" applyFont="1" applyFill="1" applyBorder="1" applyAlignment="1" applyProtection="1">
      <alignment horizontal="center" vertical="center" wrapText="1"/>
    </xf>
    <xf numFmtId="165" fontId="18" fillId="5" borderId="2" xfId="1" applyNumberFormat="1" applyFont="1" applyFill="1" applyBorder="1" applyAlignment="1" applyProtection="1">
      <alignment horizontal="right" vertical="center" wrapText="1"/>
      <protection locked="0"/>
    </xf>
    <xf numFmtId="49" fontId="17" fillId="0" borderId="2" xfId="29" applyNumberFormat="1" applyFont="1" applyFill="1" applyBorder="1" applyAlignment="1" applyProtection="1">
      <alignment horizontal="left" vertical="center" wrapText="1"/>
    </xf>
    <xf numFmtId="49" fontId="20" fillId="0" borderId="2" xfId="28" applyNumberFormat="1" applyFont="1" applyFill="1" applyBorder="1" applyAlignment="1" applyProtection="1">
      <alignment horizontal="left" vertical="center" wrapText="1"/>
    </xf>
    <xf numFmtId="0" fontId="17" fillId="0" borderId="2" xfId="28" applyFont="1" applyFill="1" applyBorder="1" applyAlignment="1" applyProtection="1">
      <alignment horizontal="left" vertical="center" wrapText="1"/>
    </xf>
    <xf numFmtId="0" fontId="20" fillId="0" borderId="2" xfId="28" applyFont="1" applyFill="1" applyBorder="1" applyAlignment="1" applyProtection="1">
      <alignment horizontal="left" vertical="center" wrapText="1"/>
    </xf>
    <xf numFmtId="0" fontId="20" fillId="0" borderId="2" xfId="27" applyNumberFormat="1" applyFont="1" applyFill="1" applyBorder="1" applyAlignment="1" applyProtection="1">
      <alignment horizontal="left" vertical="center" wrapText="1"/>
    </xf>
    <xf numFmtId="49" fontId="17" fillId="0" borderId="2" xfId="28"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center" vertical="center" wrapText="1"/>
    </xf>
    <xf numFmtId="0" fontId="21" fillId="5" borderId="2" xfId="27" applyNumberFormat="1" applyFont="1" applyFill="1" applyBorder="1" applyAlignment="1" applyProtection="1">
      <alignment horizontal="left" vertical="center" wrapText="1"/>
    </xf>
    <xf numFmtId="0" fontId="21" fillId="5" borderId="2" xfId="27" applyNumberFormat="1" applyFont="1" applyFill="1" applyBorder="1" applyAlignment="1" applyProtection="1">
      <alignment horizontal="center" vertical="center"/>
    </xf>
    <xf numFmtId="165" fontId="22" fillId="0" borderId="2" xfId="2" quotePrefix="1" applyNumberFormat="1" applyFont="1" applyFill="1" applyBorder="1" applyAlignment="1">
      <alignment horizontal="center" vertical="center"/>
    </xf>
    <xf numFmtId="0" fontId="22" fillId="0" borderId="2" xfId="27" applyNumberFormat="1" applyFont="1" applyFill="1" applyBorder="1" applyAlignment="1" applyProtection="1">
      <alignment horizontal="center" vertical="center" wrapText="1"/>
    </xf>
    <xf numFmtId="0" fontId="22" fillId="0" borderId="2" xfId="27" applyNumberFormat="1" applyFont="1" applyFill="1" applyBorder="1" applyAlignment="1" applyProtection="1">
      <alignment horizontal="left" vertical="center" wrapText="1"/>
    </xf>
    <xf numFmtId="0" fontId="22" fillId="0" borderId="2" xfId="27" applyNumberFormat="1" applyFont="1" applyFill="1" applyBorder="1" applyAlignment="1" applyProtection="1">
      <alignment horizontal="center" vertical="center"/>
    </xf>
    <xf numFmtId="0" fontId="21" fillId="6" borderId="2" xfId="27" applyNumberFormat="1" applyFont="1" applyFill="1" applyBorder="1" applyAlignment="1" applyProtection="1">
      <alignment horizontal="center" vertical="center" wrapText="1"/>
    </xf>
    <xf numFmtId="0" fontId="21" fillId="6" borderId="2" xfId="27" applyNumberFormat="1" applyFont="1" applyFill="1" applyBorder="1" applyAlignment="1" applyProtection="1">
      <alignment horizontal="left" vertical="center" wrapText="1"/>
    </xf>
    <xf numFmtId="0" fontId="21" fillId="6" borderId="2" xfId="27" applyNumberFormat="1" applyFont="1" applyFill="1" applyBorder="1" applyAlignment="1" applyProtection="1">
      <alignment horizontal="center" vertical="center"/>
    </xf>
    <xf numFmtId="10" fontId="22" fillId="6" borderId="2" xfId="9" applyNumberFormat="1" applyFont="1" applyFill="1" applyBorder="1" applyAlignment="1" applyProtection="1">
      <alignment vertical="center"/>
      <protection locked="0"/>
    </xf>
    <xf numFmtId="0" fontId="21" fillId="0" borderId="2" xfId="27" applyNumberFormat="1" applyFont="1" applyFill="1" applyBorder="1" applyAlignment="1" applyProtection="1">
      <alignment horizontal="center" vertical="center"/>
    </xf>
    <xf numFmtId="0" fontId="21" fillId="0" borderId="2" xfId="27" applyNumberFormat="1" applyFont="1" applyFill="1" applyBorder="1" applyAlignment="1" applyProtection="1">
      <alignment horizontal="center" vertical="center" wrapText="1"/>
    </xf>
    <xf numFmtId="0" fontId="21" fillId="0" borderId="2" xfId="27"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center" vertical="center"/>
    </xf>
    <xf numFmtId="10" fontId="22" fillId="5" borderId="2" xfId="9" applyNumberFormat="1" applyFont="1" applyFill="1" applyBorder="1" applyAlignment="1" applyProtection="1">
      <alignment vertical="center"/>
      <protection locked="0"/>
    </xf>
    <xf numFmtId="0" fontId="22" fillId="3" borderId="2" xfId="27" applyNumberFormat="1" applyFont="1" applyFill="1" applyBorder="1" applyAlignment="1" applyProtection="1">
      <alignment horizontal="center" vertical="center" wrapText="1"/>
    </xf>
    <xf numFmtId="0" fontId="22" fillId="3" borderId="2" xfId="27" applyNumberFormat="1" applyFont="1" applyFill="1" applyBorder="1" applyAlignment="1" applyProtection="1">
      <alignment horizontal="left" vertical="center" wrapText="1"/>
    </xf>
    <xf numFmtId="0" fontId="22" fillId="3" borderId="2" xfId="27" applyNumberFormat="1" applyFont="1" applyFill="1" applyBorder="1" applyAlignment="1" applyProtection="1">
      <alignment horizontal="center" vertical="center"/>
    </xf>
    <xf numFmtId="0" fontId="22" fillId="5" borderId="2" xfId="6" applyNumberFormat="1" applyFont="1" applyFill="1" applyBorder="1" applyAlignment="1" applyProtection="1">
      <alignment horizontal="center" vertical="center"/>
    </xf>
    <xf numFmtId="0" fontId="21" fillId="5" borderId="2" xfId="6" applyNumberFormat="1" applyFont="1" applyFill="1" applyBorder="1" applyAlignment="1" applyProtection="1">
      <alignment horizontal="center" vertical="center"/>
    </xf>
    <xf numFmtId="49" fontId="25" fillId="4" borderId="3" xfId="0"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protection locked="0"/>
    </xf>
    <xf numFmtId="165" fontId="17" fillId="0" borderId="3" xfId="1" applyNumberFormat="1" applyFont="1" applyFill="1" applyBorder="1" applyAlignment="1" applyProtection="1">
      <alignment horizontal="right" vertical="center" wrapText="1"/>
      <protection locked="0"/>
    </xf>
    <xf numFmtId="49" fontId="17" fillId="3" borderId="2" xfId="28" applyNumberFormat="1" applyFont="1" applyFill="1" applyBorder="1" applyAlignment="1" applyProtection="1">
      <alignment horizontal="left" vertical="center" wrapText="1"/>
    </xf>
    <xf numFmtId="165" fontId="17" fillId="3" borderId="3" xfId="1" applyNumberFormat="1" applyFont="1" applyFill="1" applyBorder="1" applyAlignment="1" applyProtection="1">
      <alignment horizontal="right" vertical="center" wrapText="1"/>
      <protection locked="0"/>
    </xf>
    <xf numFmtId="0" fontId="20" fillId="3" borderId="2" xfId="27" applyNumberFormat="1" applyFont="1" applyFill="1" applyBorder="1" applyAlignment="1" applyProtection="1">
      <alignment horizontal="left" vertical="center" wrapText="1"/>
    </xf>
    <xf numFmtId="165" fontId="18" fillId="5" borderId="3" xfId="1" applyNumberFormat="1" applyFont="1" applyFill="1" applyBorder="1" applyAlignment="1" applyProtection="1">
      <alignment horizontal="right" vertical="center" wrapText="1"/>
      <protection locked="0"/>
    </xf>
    <xf numFmtId="165" fontId="17" fillId="5" borderId="2" xfId="1" applyNumberFormat="1" applyFont="1" applyFill="1" applyBorder="1" applyAlignment="1" applyProtection="1">
      <alignment horizontal="right" vertical="center" wrapText="1"/>
      <protection locked="0"/>
    </xf>
    <xf numFmtId="165" fontId="17" fillId="5" borderId="3" xfId="1" applyNumberFormat="1" applyFont="1" applyFill="1" applyBorder="1" applyAlignment="1" applyProtection="1">
      <alignment horizontal="right" vertical="center" wrapText="1"/>
      <protection locked="0"/>
    </xf>
    <xf numFmtId="43" fontId="17" fillId="3" borderId="2" xfId="1" applyNumberFormat="1" applyFont="1" applyFill="1" applyBorder="1" applyAlignment="1" applyProtection="1">
      <alignment horizontal="right" vertical="center" wrapText="1"/>
      <protection locked="0"/>
    </xf>
    <xf numFmtId="43" fontId="17" fillId="3" borderId="3" xfId="1" applyNumberFormat="1" applyFont="1" applyFill="1" applyBorder="1" applyAlignment="1" applyProtection="1">
      <alignment horizontal="right" vertical="center" wrapText="1"/>
      <protection locked="0"/>
    </xf>
    <xf numFmtId="0" fontId="17" fillId="3" borderId="2" xfId="0" applyFont="1" applyFill="1" applyBorder="1" applyAlignment="1">
      <alignment horizontal="center" vertical="center"/>
    </xf>
    <xf numFmtId="43" fontId="17" fillId="5" borderId="2" xfId="1" applyFont="1" applyFill="1" applyBorder="1" applyAlignment="1" applyProtection="1">
      <alignment horizontal="right" vertical="center" wrapText="1"/>
      <protection locked="0"/>
    </xf>
    <xf numFmtId="49" fontId="25" fillId="4" borderId="2" xfId="0" applyNumberFormat="1" applyFont="1" applyFill="1" applyBorder="1" applyAlignment="1" applyProtection="1">
      <alignment horizontal="center" vertical="center" wrapText="1"/>
    </xf>
    <xf numFmtId="43" fontId="26" fillId="3" borderId="2" xfId="1" applyFont="1" applyFill="1" applyBorder="1" applyAlignment="1" applyProtection="1">
      <alignment horizontal="left" vertical="center" wrapText="1"/>
      <protection locked="0"/>
    </xf>
    <xf numFmtId="49" fontId="17" fillId="0" borderId="2" xfId="28" applyNumberFormat="1" applyFont="1" applyFill="1" applyBorder="1" applyAlignment="1" applyProtection="1">
      <alignment horizontal="left" wrapText="1"/>
    </xf>
    <xf numFmtId="165" fontId="17" fillId="3" borderId="2" xfId="1" applyNumberFormat="1" applyFont="1" applyFill="1" applyBorder="1" applyAlignment="1" applyProtection="1">
      <alignment horizontal="center" vertical="center" wrapText="1"/>
      <protection locked="0"/>
    </xf>
    <xf numFmtId="49" fontId="17" fillId="5" borderId="2" xfId="28" applyNumberFormat="1" applyFont="1" applyFill="1" applyBorder="1" applyAlignment="1" applyProtection="1">
      <alignment horizontal="left" vertical="center" wrapText="1"/>
    </xf>
    <xf numFmtId="165" fontId="17" fillId="0" borderId="2" xfId="1" applyNumberFormat="1" applyFont="1" applyFill="1" applyBorder="1" applyAlignment="1" applyProtection="1">
      <alignment horizontal="center" vertical="center" wrapText="1"/>
      <protection locked="0"/>
    </xf>
    <xf numFmtId="37" fontId="17" fillId="0" borderId="2" xfId="7" applyNumberFormat="1" applyFont="1" applyBorder="1" applyAlignment="1">
      <alignment vertical="center"/>
    </xf>
    <xf numFmtId="49" fontId="17" fillId="3" borderId="2" xfId="28" applyNumberFormat="1" applyFont="1" applyFill="1" applyBorder="1" applyAlignment="1" applyProtection="1">
      <alignment horizontal="left" wrapText="1"/>
    </xf>
    <xf numFmtId="165" fontId="17" fillId="7" borderId="0" xfId="15" applyNumberFormat="1" applyFont="1" applyFill="1" applyAlignment="1">
      <alignment vertical="center"/>
    </xf>
    <xf numFmtId="0" fontId="22" fillId="0" borderId="0" xfId="14" applyFont="1" applyFill="1" applyAlignment="1">
      <alignment vertical="center"/>
    </xf>
    <xf numFmtId="0" fontId="13" fillId="0" borderId="0" xfId="0" applyFont="1" applyAlignment="1">
      <alignment horizontal="center" vertical="justify"/>
    </xf>
    <xf numFmtId="0" fontId="12" fillId="0" borderId="0" xfId="0" applyFont="1" applyAlignment="1">
      <alignment horizontal="center" vertical="justify"/>
    </xf>
    <xf numFmtId="0" fontId="5" fillId="0" borderId="0" xfId="0" applyFont="1" applyAlignment="1">
      <alignment horizontal="center" vertical="justify"/>
    </xf>
    <xf numFmtId="0" fontId="14" fillId="2" borderId="1" xfId="0" applyFont="1" applyFill="1" applyBorder="1" applyAlignment="1">
      <alignment horizontal="center" vertical="justify"/>
    </xf>
    <xf numFmtId="0" fontId="17" fillId="3" borderId="2" xfId="0" applyFont="1" applyFill="1" applyBorder="1" applyAlignment="1">
      <alignment horizontal="center" vertical="center"/>
    </xf>
  </cellXfs>
  <cellStyles count="45">
    <cellStyle name="Comma" xfId="1" builtinId="3"/>
    <cellStyle name="Comma 2" xfId="2"/>
    <cellStyle name="Comma 2 2" xfId="26"/>
    <cellStyle name="Comma 2 3 62" xfId="17"/>
    <cellStyle name="Comma 2 3 62 2" xfId="38"/>
    <cellStyle name="Comma 2 87" xfId="12"/>
    <cellStyle name="Comma 2 87 2" xfId="33"/>
    <cellStyle name="Comma 2 88" xfId="15"/>
    <cellStyle name="Comma 2 88 2" xfId="36"/>
    <cellStyle name="Comma 24" xfId="22"/>
    <cellStyle name="Comma 24 2" xfId="43"/>
    <cellStyle name="Comma 3" xfId="25"/>
    <cellStyle name="Comma 37" xfId="21"/>
    <cellStyle name="Comma 37 2" xfId="42"/>
    <cellStyle name="Comma 38" xfId="23"/>
    <cellStyle name="Comma 38 2" xfId="44"/>
    <cellStyle name="Currency [0] 2" xfId="3"/>
    <cellStyle name="Currency [0] 2 2" xfId="27"/>
    <cellStyle name="Normal" xfId="0" builtinId="0"/>
    <cellStyle name="Normal 2" xfId="4"/>
    <cellStyle name="Normal 2 2" xfId="28"/>
    <cellStyle name="Normal 2 2 10" xfId="5"/>
    <cellStyle name="Normal 2 2 10 2" xfId="29"/>
    <cellStyle name="Normal 3" xfId="6"/>
    <cellStyle name="Normal 3 2" xfId="30"/>
    <cellStyle name="Normal 3 2 2" xfId="20"/>
    <cellStyle name="Normal 3 2 2 2" xfId="41"/>
    <cellStyle name="Normal 3 2 45 2" xfId="19"/>
    <cellStyle name="Normal 3 2 45 2 2" xfId="40"/>
    <cellStyle name="Normal 3 56 5" xfId="16"/>
    <cellStyle name="Normal 3 56 5 2" xfId="37"/>
    <cellStyle name="Normal 3 69" xfId="11"/>
    <cellStyle name="Normal 3 69 2" xfId="32"/>
    <cellStyle name="Normal 3 71" xfId="14"/>
    <cellStyle name="Normal 3 71 2" xfId="35"/>
    <cellStyle name="Normal 4" xfId="24"/>
    <cellStyle name="Normal 50" xfId="7"/>
    <cellStyle name="Normal 61" xfId="8"/>
    <cellStyle name="Percent" xfId="9" builtinId="5"/>
    <cellStyle name="Percent 2" xfId="10"/>
    <cellStyle name="Percent 2 2" xfId="31"/>
    <cellStyle name="Percent 2 2 62" xfId="18"/>
    <cellStyle name="Percent 2 2 62 2" xfId="39"/>
    <cellStyle name="Percent 2 68" xfId="13"/>
    <cellStyle name="Percent 2 68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C10" sqref="C10"/>
    </sheetView>
  </sheetViews>
  <sheetFormatPr defaultRowHeight="12.75" x14ac:dyDescent="0.2"/>
  <cols>
    <col min="1" max="1" width="6.7109375" customWidth="1"/>
    <col min="2" max="2" width="12" customWidth="1"/>
    <col min="3" max="3" width="81.140625" customWidth="1"/>
    <col min="4" max="4" width="37" customWidth="1"/>
  </cols>
  <sheetData>
    <row r="1" spans="1:4" ht="15" customHeight="1" x14ac:dyDescent="0.2">
      <c r="A1" s="170" t="s">
        <v>0</v>
      </c>
      <c r="B1" s="170"/>
      <c r="C1" s="170"/>
      <c r="D1" s="170"/>
    </row>
    <row r="2" spans="1:4" ht="9" customHeight="1" x14ac:dyDescent="0.2">
      <c r="A2" s="170"/>
      <c r="B2" s="170"/>
      <c r="C2" s="170"/>
      <c r="D2" s="170"/>
    </row>
    <row r="3" spans="1:4" ht="15" customHeight="1" x14ac:dyDescent="0.25">
      <c r="A3" s="1" t="s">
        <v>1</v>
      </c>
      <c r="B3" s="1" t="s">
        <v>1</v>
      </c>
      <c r="C3" s="2" t="s">
        <v>2</v>
      </c>
      <c r="D3" s="9" t="s">
        <v>226</v>
      </c>
    </row>
    <row r="4" spans="1:4" ht="15" customHeight="1" x14ac:dyDescent="0.25">
      <c r="A4" s="1" t="s">
        <v>1</v>
      </c>
      <c r="B4" s="1" t="s">
        <v>1</v>
      </c>
      <c r="C4" s="2" t="s">
        <v>3</v>
      </c>
      <c r="D4" s="1">
        <v>1</v>
      </c>
    </row>
    <row r="5" spans="1:4" ht="15" customHeight="1" x14ac:dyDescent="0.25">
      <c r="A5" s="1" t="s">
        <v>1</v>
      </c>
      <c r="B5" s="1" t="s">
        <v>1</v>
      </c>
      <c r="C5" s="2" t="s">
        <v>4</v>
      </c>
      <c r="D5" s="1">
        <v>2025</v>
      </c>
    </row>
    <row r="6" spans="1:4" ht="15" customHeight="1" x14ac:dyDescent="0.25">
      <c r="A6" s="1" t="s">
        <v>1</v>
      </c>
      <c r="B6" s="1" t="s">
        <v>1</v>
      </c>
      <c r="C6" s="1" t="s">
        <v>1</v>
      </c>
      <c r="D6" s="1" t="s">
        <v>1</v>
      </c>
    </row>
    <row r="7" spans="1:4" ht="15" customHeight="1" x14ac:dyDescent="0.25">
      <c r="A7" s="21" t="s">
        <v>478</v>
      </c>
      <c r="B7" s="21"/>
      <c r="C7" s="1"/>
      <c r="D7" s="1" t="s">
        <v>1</v>
      </c>
    </row>
    <row r="8" spans="1:4" ht="15" customHeight="1" x14ac:dyDescent="0.25">
      <c r="A8" s="21" t="s">
        <v>227</v>
      </c>
      <c r="B8" s="21"/>
      <c r="C8" s="1"/>
      <c r="D8" s="1" t="s">
        <v>1</v>
      </c>
    </row>
    <row r="9" spans="1:4" ht="15" customHeight="1" x14ac:dyDescent="0.25">
      <c r="A9" s="21" t="s">
        <v>479</v>
      </c>
      <c r="B9" s="21"/>
      <c r="C9" s="1"/>
      <c r="D9" s="1" t="s">
        <v>1</v>
      </c>
    </row>
    <row r="10" spans="1:4" ht="15" customHeight="1" x14ac:dyDescent="0.25">
      <c r="A10" s="21" t="s">
        <v>513</v>
      </c>
      <c r="B10" s="21"/>
      <c r="C10" s="9"/>
      <c r="D10" s="1" t="s">
        <v>1</v>
      </c>
    </row>
    <row r="11" spans="1:4" ht="15" customHeight="1" x14ac:dyDescent="0.25">
      <c r="A11" s="1"/>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169" t="s">
        <v>52</v>
      </c>
      <c r="B33" s="169"/>
      <c r="C33" s="169" t="s">
        <v>53</v>
      </c>
      <c r="D33" s="169"/>
    </row>
    <row r="34" spans="1:4" ht="15" customHeight="1" x14ac:dyDescent="0.2">
      <c r="A34" s="168" t="s">
        <v>54</v>
      </c>
      <c r="B34" s="168"/>
      <c r="C34" s="168" t="s">
        <v>54</v>
      </c>
      <c r="D34" s="168"/>
    </row>
    <row r="35" spans="1:4" ht="15" customHeight="1" x14ac:dyDescent="0.25">
      <c r="A35" s="1" t="s">
        <v>1</v>
      </c>
      <c r="B35" s="1" t="s">
        <v>1</v>
      </c>
      <c r="C35" s="1" t="s">
        <v>1</v>
      </c>
      <c r="D35" s="1" t="s">
        <v>1</v>
      </c>
    </row>
  </sheetData>
  <mergeCells count="5">
    <mergeCell ref="A34:B34"/>
    <mergeCell ref="C33:D33"/>
    <mergeCell ref="C34:D34"/>
    <mergeCell ref="A1:D2"/>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171" t="s">
        <v>6</v>
      </c>
      <c r="B1" s="171" t="s">
        <v>105</v>
      </c>
      <c r="C1" s="171" t="s">
        <v>159</v>
      </c>
      <c r="D1" s="171"/>
      <c r="E1" s="171" t="s">
        <v>160</v>
      </c>
      <c r="F1" s="171"/>
      <c r="G1" s="171" t="s">
        <v>207</v>
      </c>
    </row>
    <row r="2" spans="1:7" ht="15" customHeight="1" x14ac:dyDescent="0.2">
      <c r="A2" s="171"/>
      <c r="B2" s="171"/>
      <c r="C2" s="7" t="s">
        <v>198</v>
      </c>
      <c r="D2" s="7" t="s">
        <v>204</v>
      </c>
      <c r="E2" s="7" t="s">
        <v>198</v>
      </c>
      <c r="F2" s="7" t="s">
        <v>204</v>
      </c>
      <c r="G2" s="171"/>
    </row>
    <row r="3" spans="1:7" ht="15" customHeight="1" x14ac:dyDescent="0.25">
      <c r="A3" s="8" t="s">
        <v>56</v>
      </c>
      <c r="B3" s="8" t="s">
        <v>208</v>
      </c>
      <c r="C3" s="8" t="s">
        <v>1</v>
      </c>
      <c r="D3" s="8" t="s">
        <v>1</v>
      </c>
      <c r="E3" s="8" t="s">
        <v>1</v>
      </c>
      <c r="F3" s="8" t="s">
        <v>1</v>
      </c>
      <c r="G3" s="8" t="s">
        <v>1</v>
      </c>
    </row>
    <row r="4" spans="1:7" ht="15" customHeight="1" x14ac:dyDescent="0.25">
      <c r="A4" s="5" t="s">
        <v>1</v>
      </c>
      <c r="B4" s="5" t="s">
        <v>72</v>
      </c>
      <c r="C4" s="5" t="s">
        <v>1</v>
      </c>
      <c r="D4" s="5" t="s">
        <v>1</v>
      </c>
      <c r="E4" s="5" t="s">
        <v>1</v>
      </c>
      <c r="F4" s="5" t="s">
        <v>1</v>
      </c>
      <c r="G4" s="5" t="s">
        <v>1</v>
      </c>
    </row>
    <row r="5" spans="1:7" ht="15" customHeight="1" x14ac:dyDescent="0.25">
      <c r="A5" s="5" t="s">
        <v>1</v>
      </c>
      <c r="B5" s="5" t="s">
        <v>75</v>
      </c>
      <c r="C5" s="5" t="s">
        <v>1</v>
      </c>
      <c r="D5" s="5" t="s">
        <v>1</v>
      </c>
      <c r="E5" s="5" t="s">
        <v>1</v>
      </c>
      <c r="F5" s="5" t="s">
        <v>1</v>
      </c>
      <c r="G5" s="5" t="s">
        <v>1</v>
      </c>
    </row>
    <row r="6" spans="1:7" ht="15" customHeight="1" x14ac:dyDescent="0.25">
      <c r="A6" s="5" t="s">
        <v>1</v>
      </c>
      <c r="B6" s="5" t="s">
        <v>209</v>
      </c>
      <c r="C6" s="5" t="s">
        <v>1</v>
      </c>
      <c r="D6" s="5" t="s">
        <v>1</v>
      </c>
      <c r="E6" s="5" t="s">
        <v>1</v>
      </c>
      <c r="F6" s="5" t="s">
        <v>1</v>
      </c>
      <c r="G6" s="5" t="s">
        <v>1</v>
      </c>
    </row>
    <row r="7" spans="1:7" ht="15" customHeight="1" x14ac:dyDescent="0.25">
      <c r="A7" s="5" t="s">
        <v>63</v>
      </c>
      <c r="B7" s="5" t="s">
        <v>63</v>
      </c>
      <c r="C7" s="5" t="s">
        <v>63</v>
      </c>
      <c r="D7" s="5" t="s">
        <v>63</v>
      </c>
      <c r="E7" s="5" t="s">
        <v>63</v>
      </c>
      <c r="F7" s="5" t="s">
        <v>63</v>
      </c>
      <c r="G7" s="5" t="s">
        <v>63</v>
      </c>
    </row>
    <row r="8" spans="1:7" ht="15" customHeight="1" x14ac:dyDescent="0.25">
      <c r="A8" s="8" t="s">
        <v>89</v>
      </c>
      <c r="B8" s="8" t="s">
        <v>210</v>
      </c>
      <c r="C8" s="8" t="s">
        <v>1</v>
      </c>
      <c r="D8" s="8" t="s">
        <v>1</v>
      </c>
      <c r="E8" s="8" t="s">
        <v>1</v>
      </c>
      <c r="F8" s="8" t="s">
        <v>1</v>
      </c>
      <c r="G8" s="8" t="s">
        <v>1</v>
      </c>
    </row>
    <row r="9" spans="1:7" ht="15" customHeight="1" x14ac:dyDescent="0.25">
      <c r="A9" s="5" t="s">
        <v>1</v>
      </c>
      <c r="B9" s="5" t="s">
        <v>211</v>
      </c>
      <c r="C9" s="5" t="s">
        <v>1</v>
      </c>
      <c r="D9" s="5" t="s">
        <v>1</v>
      </c>
      <c r="E9" s="5" t="s">
        <v>1</v>
      </c>
      <c r="F9" s="5" t="s">
        <v>1</v>
      </c>
      <c r="G9" s="5" t="s">
        <v>1</v>
      </c>
    </row>
    <row r="10" spans="1:7" ht="15" customHeight="1" x14ac:dyDescent="0.25">
      <c r="A10" s="5" t="s">
        <v>63</v>
      </c>
      <c r="B10" s="5" t="s">
        <v>63</v>
      </c>
      <c r="C10" s="5" t="s">
        <v>63</v>
      </c>
      <c r="D10" s="5" t="s">
        <v>63</v>
      </c>
      <c r="E10" s="5" t="s">
        <v>63</v>
      </c>
      <c r="F10" s="5" t="s">
        <v>63</v>
      </c>
      <c r="G10" s="5" t="s">
        <v>63</v>
      </c>
    </row>
    <row r="11" spans="1:7" ht="15" customHeight="1" x14ac:dyDescent="0.25">
      <c r="A11" s="5" t="s">
        <v>1</v>
      </c>
      <c r="B11" s="5" t="s">
        <v>212</v>
      </c>
      <c r="C11" s="5" t="s">
        <v>1</v>
      </c>
      <c r="D11" s="5" t="s">
        <v>1</v>
      </c>
      <c r="E11" s="5" t="s">
        <v>1</v>
      </c>
      <c r="F11" s="5" t="s">
        <v>1</v>
      </c>
      <c r="G11" s="5" t="s">
        <v>1</v>
      </c>
    </row>
    <row r="12" spans="1:7" ht="15" customHeight="1" x14ac:dyDescent="0.25">
      <c r="A12" s="5" t="s">
        <v>63</v>
      </c>
      <c r="B12" s="5" t="s">
        <v>63</v>
      </c>
      <c r="C12" s="5" t="s">
        <v>63</v>
      </c>
      <c r="D12" s="5" t="s">
        <v>63</v>
      </c>
      <c r="E12" s="5" t="s">
        <v>63</v>
      </c>
      <c r="F12" s="5" t="s">
        <v>63</v>
      </c>
      <c r="G12" s="5" t="s">
        <v>63</v>
      </c>
    </row>
    <row r="13" spans="1:7" ht="15" customHeight="1" x14ac:dyDescent="0.25">
      <c r="A13" s="8" t="s">
        <v>116</v>
      </c>
      <c r="B13" s="8" t="s">
        <v>213</v>
      </c>
      <c r="C13" s="8" t="s">
        <v>1</v>
      </c>
      <c r="D13" s="8" t="s">
        <v>1</v>
      </c>
      <c r="E13" s="8" t="s">
        <v>1</v>
      </c>
      <c r="F13" s="8" t="s">
        <v>1</v>
      </c>
      <c r="G13" s="8" t="s">
        <v>1</v>
      </c>
    </row>
    <row r="14" spans="1:7" ht="15" customHeight="1" x14ac:dyDescent="0.25">
      <c r="A14" s="8" t="s">
        <v>118</v>
      </c>
      <c r="B14" s="8" t="s">
        <v>214</v>
      </c>
      <c r="C14" s="8" t="s">
        <v>1</v>
      </c>
      <c r="D14" s="8" t="s">
        <v>1</v>
      </c>
      <c r="E14" s="8" t="s">
        <v>1</v>
      </c>
      <c r="F14" s="8" t="s">
        <v>1</v>
      </c>
      <c r="G14" s="8" t="s">
        <v>1</v>
      </c>
    </row>
    <row r="15" spans="1:7" ht="15" customHeight="1" x14ac:dyDescent="0.25">
      <c r="A15" s="5" t="s">
        <v>1</v>
      </c>
      <c r="B15" s="5" t="s">
        <v>215</v>
      </c>
      <c r="C15" s="5" t="s">
        <v>1</v>
      </c>
      <c r="D15" s="5" t="s">
        <v>1</v>
      </c>
      <c r="E15" s="5" t="s">
        <v>1</v>
      </c>
      <c r="F15" s="5" t="s">
        <v>1</v>
      </c>
      <c r="G15" s="5" t="s">
        <v>1</v>
      </c>
    </row>
    <row r="16" spans="1:7" ht="15" customHeight="1" x14ac:dyDescent="0.25">
      <c r="A16" s="5" t="s">
        <v>1</v>
      </c>
      <c r="B16" s="5" t="s">
        <v>121</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B17" sqref="B17"/>
    </sheetView>
  </sheetViews>
  <sheetFormatPr defaultRowHeight="12.75" x14ac:dyDescent="0.2"/>
  <cols>
    <col min="1" max="1" width="6.85546875" customWidth="1"/>
    <col min="2" max="2" width="43" customWidth="1"/>
    <col min="3" max="3" width="41.42578125" customWidth="1"/>
  </cols>
  <sheetData>
    <row r="1" spans="1:3" ht="15" customHeight="1" x14ac:dyDescent="0.2">
      <c r="A1" s="7" t="s">
        <v>6</v>
      </c>
      <c r="B1" s="7" t="s">
        <v>225</v>
      </c>
      <c r="C1" s="7" t="s">
        <v>7</v>
      </c>
    </row>
    <row r="2" spans="1:3" ht="15" customHeight="1" x14ac:dyDescent="0.25">
      <c r="A2" s="5" t="s">
        <v>63</v>
      </c>
      <c r="B2" s="5" t="s">
        <v>63</v>
      </c>
      <c r="C2" s="5" t="s">
        <v>63</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activeCell="B36" sqref="B36"/>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171" t="s">
        <v>6</v>
      </c>
      <c r="B1" s="171" t="s">
        <v>216</v>
      </c>
      <c r="C1" s="171" t="s">
        <v>132</v>
      </c>
      <c r="D1" s="171" t="s">
        <v>133</v>
      </c>
      <c r="E1" s="171"/>
      <c r="F1" s="171" t="s">
        <v>134</v>
      </c>
      <c r="G1" s="171"/>
      <c r="H1" s="171" t="s">
        <v>217</v>
      </c>
    </row>
    <row r="2" spans="1:8" ht="15" customHeight="1" x14ac:dyDescent="0.2">
      <c r="A2" s="171"/>
      <c r="B2" s="171"/>
      <c r="C2" s="171"/>
      <c r="D2" s="7" t="s">
        <v>198</v>
      </c>
      <c r="E2" s="7" t="s">
        <v>204</v>
      </c>
      <c r="F2" s="7" t="s">
        <v>198</v>
      </c>
      <c r="G2" s="7" t="s">
        <v>204</v>
      </c>
      <c r="H2" s="171"/>
    </row>
    <row r="3" spans="1:8" ht="15" customHeight="1" x14ac:dyDescent="0.25">
      <c r="A3" s="8" t="s">
        <v>56</v>
      </c>
      <c r="B3" s="8" t="s">
        <v>218</v>
      </c>
      <c r="C3" s="8" t="s">
        <v>1</v>
      </c>
      <c r="D3" s="8" t="s">
        <v>1</v>
      </c>
      <c r="E3" s="8" t="s">
        <v>1</v>
      </c>
      <c r="F3" s="8" t="s">
        <v>1</v>
      </c>
      <c r="G3" s="8" t="s">
        <v>1</v>
      </c>
      <c r="H3" s="8" t="s">
        <v>1</v>
      </c>
    </row>
    <row r="4" spans="1:8" ht="15" customHeight="1" x14ac:dyDescent="0.25">
      <c r="A4" s="5" t="s">
        <v>63</v>
      </c>
      <c r="B4" s="5" t="s">
        <v>63</v>
      </c>
      <c r="C4" s="5" t="s">
        <v>63</v>
      </c>
      <c r="D4" s="5" t="s">
        <v>63</v>
      </c>
      <c r="E4" s="5" t="s">
        <v>63</v>
      </c>
      <c r="F4" s="5" t="s">
        <v>63</v>
      </c>
      <c r="G4" s="5" t="s">
        <v>63</v>
      </c>
      <c r="H4" s="5" t="s">
        <v>63</v>
      </c>
    </row>
    <row r="5" spans="1:8" ht="15" customHeight="1" x14ac:dyDescent="0.25">
      <c r="A5" s="5" t="s">
        <v>1</v>
      </c>
      <c r="B5" s="5" t="s">
        <v>135</v>
      </c>
      <c r="C5" s="5" t="s">
        <v>1</v>
      </c>
      <c r="D5" s="5" t="s">
        <v>1</v>
      </c>
      <c r="E5" s="5" t="s">
        <v>1</v>
      </c>
      <c r="F5" s="5" t="s">
        <v>1</v>
      </c>
      <c r="G5" s="5" t="s">
        <v>1</v>
      </c>
      <c r="H5" s="5" t="s">
        <v>1</v>
      </c>
    </row>
    <row r="6" spans="1:8" ht="15" customHeight="1" x14ac:dyDescent="0.25">
      <c r="A6" s="8" t="s">
        <v>89</v>
      </c>
      <c r="B6" s="8" t="s">
        <v>219</v>
      </c>
      <c r="C6" s="8" t="s">
        <v>1</v>
      </c>
      <c r="D6" s="8" t="s">
        <v>1</v>
      </c>
      <c r="E6" s="8" t="s">
        <v>1</v>
      </c>
      <c r="F6" s="8" t="s">
        <v>1</v>
      </c>
      <c r="G6" s="8" t="s">
        <v>1</v>
      </c>
      <c r="H6" s="8" t="s">
        <v>1</v>
      </c>
    </row>
    <row r="7" spans="1:8" ht="15" customHeight="1" x14ac:dyDescent="0.25">
      <c r="A7" s="5" t="s">
        <v>63</v>
      </c>
      <c r="B7" s="5" t="s">
        <v>63</v>
      </c>
      <c r="C7" s="5" t="s">
        <v>63</v>
      </c>
      <c r="D7" s="5" t="s">
        <v>63</v>
      </c>
      <c r="E7" s="5" t="s">
        <v>63</v>
      </c>
      <c r="F7" s="5" t="s">
        <v>63</v>
      </c>
      <c r="G7" s="5" t="s">
        <v>63</v>
      </c>
      <c r="H7" s="5" t="s">
        <v>63</v>
      </c>
    </row>
    <row r="8" spans="1:8" ht="15" customHeight="1" x14ac:dyDescent="0.25">
      <c r="A8" s="5" t="s">
        <v>1</v>
      </c>
      <c r="B8" s="5" t="s">
        <v>135</v>
      </c>
      <c r="C8" s="5" t="s">
        <v>1</v>
      </c>
      <c r="D8" s="5" t="s">
        <v>1</v>
      </c>
      <c r="E8" s="5" t="s">
        <v>1</v>
      </c>
      <c r="F8" s="5" t="s">
        <v>1</v>
      </c>
      <c r="G8" s="5" t="s">
        <v>1</v>
      </c>
      <c r="H8" s="5" t="s">
        <v>1</v>
      </c>
    </row>
    <row r="9" spans="1:8" ht="15" customHeight="1" x14ac:dyDescent="0.25">
      <c r="A9" s="8" t="s">
        <v>116</v>
      </c>
      <c r="B9" s="8" t="s">
        <v>220</v>
      </c>
      <c r="C9" s="8" t="s">
        <v>1</v>
      </c>
      <c r="D9" s="8" t="s">
        <v>1</v>
      </c>
      <c r="E9" s="8" t="s">
        <v>1</v>
      </c>
      <c r="F9" s="8" t="s">
        <v>1</v>
      </c>
      <c r="G9" s="8" t="s">
        <v>1</v>
      </c>
      <c r="H9" s="8" t="s">
        <v>1</v>
      </c>
    </row>
    <row r="10" spans="1:8" ht="15" customHeight="1" x14ac:dyDescent="0.25">
      <c r="A10" s="5" t="s">
        <v>63</v>
      </c>
      <c r="B10" s="5" t="s">
        <v>63</v>
      </c>
      <c r="C10" s="5" t="s">
        <v>63</v>
      </c>
      <c r="D10" s="5" t="s">
        <v>63</v>
      </c>
      <c r="E10" s="5" t="s">
        <v>63</v>
      </c>
      <c r="F10" s="5" t="s">
        <v>63</v>
      </c>
      <c r="G10" s="5" t="s">
        <v>63</v>
      </c>
      <c r="H10" s="5" t="s">
        <v>63</v>
      </c>
    </row>
    <row r="11" spans="1:8" ht="15" customHeight="1" x14ac:dyDescent="0.25">
      <c r="A11" s="5" t="s">
        <v>1</v>
      </c>
      <c r="B11" s="5" t="s">
        <v>135</v>
      </c>
      <c r="C11" s="5" t="s">
        <v>1</v>
      </c>
      <c r="D11" s="5" t="s">
        <v>1</v>
      </c>
      <c r="E11" s="5" t="s">
        <v>1</v>
      </c>
      <c r="F11" s="5" t="s">
        <v>1</v>
      </c>
      <c r="G11" s="5" t="s">
        <v>1</v>
      </c>
      <c r="H11" s="5" t="s">
        <v>1</v>
      </c>
    </row>
    <row r="12" spans="1:8" ht="15" customHeight="1" x14ac:dyDescent="0.25">
      <c r="A12" s="8" t="s">
        <v>118</v>
      </c>
      <c r="B12" s="8" t="s">
        <v>221</v>
      </c>
      <c r="C12" s="8" t="s">
        <v>1</v>
      </c>
      <c r="D12" s="8" t="s">
        <v>1</v>
      </c>
      <c r="E12" s="8" t="s">
        <v>1</v>
      </c>
      <c r="F12" s="8" t="s">
        <v>1</v>
      </c>
      <c r="G12" s="8" t="s">
        <v>1</v>
      </c>
      <c r="H12" s="8" t="s">
        <v>1</v>
      </c>
    </row>
    <row r="13" spans="1:8" ht="15" customHeight="1" x14ac:dyDescent="0.25">
      <c r="A13" s="5" t="s">
        <v>63</v>
      </c>
      <c r="B13" s="5" t="s">
        <v>63</v>
      </c>
      <c r="C13" s="5" t="s">
        <v>63</v>
      </c>
      <c r="D13" s="5" t="s">
        <v>63</v>
      </c>
      <c r="E13" s="5" t="s">
        <v>63</v>
      </c>
      <c r="F13" s="5" t="s">
        <v>63</v>
      </c>
      <c r="G13" s="5" t="s">
        <v>63</v>
      </c>
      <c r="H13" s="5" t="s">
        <v>63</v>
      </c>
    </row>
    <row r="14" spans="1:8" ht="15" customHeight="1" x14ac:dyDescent="0.25">
      <c r="A14" s="5" t="s">
        <v>1</v>
      </c>
      <c r="B14" s="5" t="s">
        <v>135</v>
      </c>
      <c r="C14" s="5" t="s">
        <v>1</v>
      </c>
      <c r="D14" s="5" t="s">
        <v>1</v>
      </c>
      <c r="E14" s="5" t="s">
        <v>1</v>
      </c>
      <c r="F14" s="5" t="s">
        <v>1</v>
      </c>
      <c r="G14" s="5" t="s">
        <v>1</v>
      </c>
      <c r="H14" s="5" t="s">
        <v>1</v>
      </c>
    </row>
    <row r="15" spans="1:8" ht="15" customHeight="1" x14ac:dyDescent="0.25">
      <c r="A15" s="8" t="s">
        <v>123</v>
      </c>
      <c r="B15" s="8" t="s">
        <v>222</v>
      </c>
      <c r="C15" s="8" t="s">
        <v>1</v>
      </c>
      <c r="D15" s="8" t="s">
        <v>1</v>
      </c>
      <c r="E15" s="8" t="s">
        <v>1</v>
      </c>
      <c r="F15" s="8" t="s">
        <v>1</v>
      </c>
      <c r="G15" s="8" t="s">
        <v>1</v>
      </c>
      <c r="H15" s="8" t="s">
        <v>1</v>
      </c>
    </row>
    <row r="16" spans="1:8" ht="15" customHeight="1" x14ac:dyDescent="0.25">
      <c r="A16" s="5" t="s">
        <v>63</v>
      </c>
      <c r="B16" s="5" t="s">
        <v>63</v>
      </c>
      <c r="C16" s="5" t="s">
        <v>63</v>
      </c>
      <c r="D16" s="5" t="s">
        <v>63</v>
      </c>
      <c r="E16" s="5" t="s">
        <v>63</v>
      </c>
      <c r="F16" s="5" t="s">
        <v>63</v>
      </c>
      <c r="G16" s="5" t="s">
        <v>63</v>
      </c>
      <c r="H16" s="5" t="s">
        <v>63</v>
      </c>
    </row>
    <row r="17" spans="1:8" ht="15" customHeight="1" x14ac:dyDescent="0.25">
      <c r="A17" s="5" t="s">
        <v>1</v>
      </c>
      <c r="B17" s="5" t="s">
        <v>135</v>
      </c>
      <c r="C17" s="5" t="s">
        <v>1</v>
      </c>
      <c r="D17" s="5" t="s">
        <v>1</v>
      </c>
      <c r="E17" s="5" t="s">
        <v>1</v>
      </c>
      <c r="F17" s="5" t="s">
        <v>1</v>
      </c>
      <c r="G17" s="5" t="s">
        <v>1</v>
      </c>
      <c r="H17" s="5" t="s">
        <v>1</v>
      </c>
    </row>
    <row r="18" spans="1:8" ht="15" customHeight="1" x14ac:dyDescent="0.25">
      <c r="A18" s="8" t="s">
        <v>125</v>
      </c>
      <c r="B18" s="8" t="s">
        <v>223</v>
      </c>
      <c r="C18" s="8" t="s">
        <v>1</v>
      </c>
      <c r="D18" s="8" t="s">
        <v>1</v>
      </c>
      <c r="E18" s="8" t="s">
        <v>1</v>
      </c>
      <c r="F18" s="8" t="s">
        <v>1</v>
      </c>
      <c r="G18" s="8" t="s">
        <v>1</v>
      </c>
      <c r="H18" s="8" t="s">
        <v>1</v>
      </c>
    </row>
    <row r="19" spans="1:8" ht="15" customHeight="1" x14ac:dyDescent="0.25">
      <c r="A19" s="5" t="s">
        <v>63</v>
      </c>
      <c r="B19" s="5" t="s">
        <v>63</v>
      </c>
      <c r="C19" s="5" t="s">
        <v>63</v>
      </c>
      <c r="D19" s="5" t="s">
        <v>63</v>
      </c>
      <c r="E19" s="5" t="s">
        <v>63</v>
      </c>
      <c r="F19" s="5" t="s">
        <v>63</v>
      </c>
      <c r="G19" s="5" t="s">
        <v>63</v>
      </c>
      <c r="H19" s="5" t="s">
        <v>63</v>
      </c>
    </row>
    <row r="20" spans="1:8" ht="15" customHeight="1" x14ac:dyDescent="0.25">
      <c r="A20" s="5" t="s">
        <v>1</v>
      </c>
      <c r="B20" s="5" t="s">
        <v>135</v>
      </c>
      <c r="C20" s="5" t="s">
        <v>1</v>
      </c>
      <c r="D20" s="5" t="s">
        <v>1</v>
      </c>
      <c r="E20" s="5" t="s">
        <v>1</v>
      </c>
      <c r="F20" s="5" t="s">
        <v>1</v>
      </c>
      <c r="G20" s="5" t="s">
        <v>1</v>
      </c>
      <c r="H20" s="5" t="s">
        <v>1</v>
      </c>
    </row>
    <row r="21" spans="1:8" ht="15" customHeight="1" x14ac:dyDescent="0.25">
      <c r="A21" s="8" t="s">
        <v>127</v>
      </c>
      <c r="B21" s="8" t="s">
        <v>224</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e">
        <f>CONCATENATE("{'SheetId':'0e67e680-b807-4d33-99c0-7b78881f5ae3'",",","'UId':'78de1b0b-f5be-47ed-baf4-6c1d577dd467'",",'Col':",COLUMN(BCTaiSan_06027!#REF!),",'Row':",ROW(BCTaiSan_06027!#REF!),",","'Format':'numberic'",",'Value':'",SUBSTITUTE(BCTaiSan_06027!#REF!,"'","\'"),"','TargetCode':''}")</f>
        <v>#REF!</v>
      </c>
    </row>
    <row r="2" spans="1:1" x14ac:dyDescent="0.2">
      <c r="A2" t="e">
        <f>CONCATENATE("{'SheetId':'0e67e680-b807-4d33-99c0-7b78881f5ae3'",",","'UId':'e18b467e-bb3b-470d-aa24-3fd45d7550d6'",",'Col':",COLUMN(BCTaiSan_06027!#REF!),",'Row':",ROW(BCTaiSan_06027!#REF!),",","'Format':'numberic'",",'Value':'",SUBSTITUTE(BCTaiSan_06027!#REF!,"'","\'"),"','TargetCode':''}")</f>
        <v>#REF!</v>
      </c>
    </row>
    <row r="3" spans="1:1" x14ac:dyDescent="0.2">
      <c r="A3" t="e">
        <f>CONCATENATE("{'SheetId':'0e67e680-b807-4d33-99c0-7b78881f5ae3'",",","'UId':'67eca034-eb8f-4f00-9eab-1ee37194d7cd'",",'Col':",COLUMN(BCTaiSan_06027!#REF!),",'Row':",ROW(BCTaiSan_06027!#REF!),",","'Format':'numberic'",",'Value':'",SUBSTITUTE(BCTaiSan_06027!#REF!,"'","\'"),"','TargetCode':''}")</f>
        <v>#REF!</v>
      </c>
    </row>
    <row r="4" spans="1:1" x14ac:dyDescent="0.2">
      <c r="A4" t="e">
        <f>CONCATENATE("{'SheetId':'0e67e680-b807-4d33-99c0-7b78881f5ae3'",",","'UId':'9cbd5645-d1cc-4c66-9f84-d2f549c40baa'",",'Col':",COLUMN(BCTaiSan_06027!#REF!),",'Row':",ROW(BCTaiSan_06027!#REF!),",","'Format':'numberic'",",'Value':'",SUBSTITUTE(BCTaiSan_06027!#REF!,"'","\'"),"','TargetCode':''}")</f>
        <v>#REF!</v>
      </c>
    </row>
    <row r="5" spans="1:1" x14ac:dyDescent="0.2">
      <c r="A5" t="e">
        <f>CONCATENATE("{'SheetId':'0e67e680-b807-4d33-99c0-7b78881f5ae3'",",","'UId':'99e568e1-5c2c-4711-855d-7b59f3d1cab6'",",'Col':",COLUMN(BCTaiSan_06027!#REF!),",'Row':",ROW(BCTaiSan_06027!#REF!),",","'Format':'numberic'",",'Value':'",SUBSTITUTE(BCTaiSan_06027!#REF!,"'","\'"),"','TargetCode':''}")</f>
        <v>#REF!</v>
      </c>
    </row>
    <row r="6" spans="1:1" x14ac:dyDescent="0.2">
      <c r="A6" t="e">
        <f>CONCATENATE("{'SheetId':'0e67e680-b807-4d33-99c0-7b78881f5ae3'",",","'UId':'c69da7a3-02da-4c71-9ebc-1684c54f1afc'",",'Col':",COLUMN(BCTaiSan_06027!#REF!),",'Row':",ROW(BCTaiSan_06027!#REF!),",","'Format':'numberic'",",'Value':'",SUBSTITUTE(BCTaiSan_06027!#REF!,"'","\'"),"','TargetCode':''}")</f>
        <v>#REF!</v>
      </c>
    </row>
    <row r="7" spans="1:1" x14ac:dyDescent="0.2">
      <c r="A7" t="e">
        <f>CONCATENATE("{'SheetId':'0e67e680-b807-4d33-99c0-7b78881f5ae3'",",","'UId':'8adc06ea-6b87-4c42-b656-c6dbc003e2fd'",",'Col':",COLUMN(BCTaiSan_06027!#REF!),",'Row':",ROW(BCTaiSan_06027!#REF!),",","'Format':'numberic'",",'Value':'",SUBSTITUTE(BCTaiSan_06027!#REF!,"'","\'"),"','TargetCode':''}")</f>
        <v>#REF!</v>
      </c>
    </row>
    <row r="8" spans="1:1" x14ac:dyDescent="0.2">
      <c r="A8" t="e">
        <f>CONCATENATE("{'SheetId':'0e67e680-b807-4d33-99c0-7b78881f5ae3'",",","'UId':'6d8a8286-837d-4b56-8e74-bffdec60ea94'",",'Col':",COLUMN(BCTaiSan_06027!#REF!),",'Row':",ROW(BCTaiSan_06027!#REF!),",","'Format':'numberic'",",'Value':'",SUBSTITUTE(BCTaiSan_06027!#REF!,"'","\'"),"','TargetCode':''}")</f>
        <v>#REF!</v>
      </c>
    </row>
    <row r="9" spans="1:1" x14ac:dyDescent="0.2">
      <c r="A9" t="e">
        <f>CONCATENATE("{'SheetId':'0e67e680-b807-4d33-99c0-7b78881f5ae3'",",","'UId':'ffa81c56-9ecf-4052-9678-78afb3d3ebc8'",",'Col':",COLUMN(BCTaiSan_06027!#REF!),",'Row':",ROW(BCTaiSan_06027!#REF!),",","'Format':'numberic'",",'Value':'",SUBSTITUTE(BCTaiSan_06027!#REF!,"'","\'"),"','TargetCode':''}")</f>
        <v>#REF!</v>
      </c>
    </row>
    <row r="10" spans="1:1" x14ac:dyDescent="0.2">
      <c r="A10" t="e">
        <f>CONCATENATE("{'SheetId':'0e67e680-b807-4d33-99c0-7b78881f5ae3'",",","'UId':'a532d81e-b0a1-450f-9dda-9a05a948e945'",",'Col':",COLUMN(BCTaiSan_06027!#REF!),",'Row':",ROW(BCTaiSan_06027!#REF!),",","'ColDynamic':",COLUMN(BCTaiSan_06027!#REF!),",","'RowDynamic':",ROW(BCTaiSan_06027!#REF!),",","'Format':'string'",",'Value':'",SUBSTITUTE(BCTaiSan_06027!#REF!,"'","\'"),"','TargetCode':''}")</f>
        <v>#REF!</v>
      </c>
    </row>
    <row r="11" spans="1:1" x14ac:dyDescent="0.2">
      <c r="A11" t="e">
        <f>CONCATENATE("{'SheetId':'0e67e680-b807-4d33-99c0-7b78881f5ae3'",",","'UId':'efedf59d-3251-42e0-90eb-35d5ded81347'",",'Col':",COLUMN(BCTaiSan_06027!#REF!),",'Row':",ROW(BCTaiSan_06027!#REF!),",","'ColDynamic':",COLUMN(BCTaiSan_06027!#REF!),",","'RowDynamic':",ROW(BCTaiSan_06027!#REF!),",","'Format':'string'",",'Value':'",SUBSTITUTE(BCTaiSan_06027!#REF!,"'","\'"),"','TargetCode':''}")</f>
        <v>#REF!</v>
      </c>
    </row>
    <row r="12" spans="1:1" x14ac:dyDescent="0.2">
      <c r="A12" t="e">
        <f>CONCATENATE("{'SheetId':'0e67e680-b807-4d33-99c0-7b78881f5ae3'",",","'UId':'26f717dd-3dec-433c-9c98-eb43245070a3'",",'Col':",COLUMN(BCTaiSan_06027!#REF!),",'Row':",ROW(BCTaiSan_06027!#REF!),",","'ColDynamic':",COLUMN(BCTaiSan_06027!#REF!),",","'RowDynamic':",ROW(BCTaiSan_06027!#REF!),",","'Format':'string'",",'Value':'",SUBSTITUTE(BCTaiSan_06027!#REF!,"'","\'"),"','TargetCode':''}")</f>
        <v>#REF!</v>
      </c>
    </row>
    <row r="13" spans="1:1" x14ac:dyDescent="0.2">
      <c r="A13" t="e">
        <f>CONCATENATE("{'SheetId':'0e67e680-b807-4d33-99c0-7b78881f5ae3'",",","'UId':'ff256832-31a8-4b18-a932-43bc9d1665b9'",",'Col':",COLUMN(BCTaiSan_06027!#REF!),",'Row':",ROW(BCTaiSan_06027!#REF!),",","'ColDynamic':",COLUMN(BCTaiSan_06027!#REF!),",","'RowDynamic':",ROW(BCTaiSan_06027!#REF!),",","'Format':'numberic'",",'Value':'",SUBSTITUTE(BCTaiSan_06027!#REF!,"'","\'"),"','TargetCode':''}")</f>
        <v>#REF!</v>
      </c>
    </row>
    <row r="14" spans="1:1" x14ac:dyDescent="0.2">
      <c r="A14" t="e">
        <f>CONCATENATE("{'SheetId':'0e67e680-b807-4d33-99c0-7b78881f5ae3'",",","'UId':'a91ef888-5216-4368-893d-4bf54555e048'",",'Col':",COLUMN(BCTaiSan_06027!#REF!),",'Row':",ROW(BCTaiSan_06027!#REF!),",","'ColDynamic':",COLUMN(BCTaiSan_06027!#REF!),",","'RowDynamic':",ROW(BCTaiSan_06027!#REF!),",","'Format':'numberic'",",'Value':'",SUBSTITUTE(BCTaiSan_06027!#REF!,"'","\'"),"','TargetCode':''}")</f>
        <v>#REF!</v>
      </c>
    </row>
    <row r="15" spans="1:1" x14ac:dyDescent="0.2">
      <c r="A15" t="e">
        <f>CONCATENATE("{'SheetId':'0e67e680-b807-4d33-99c0-7b78881f5ae3'",",","'UId':'0872eb3d-591d-41ae-88b3-07cc186bb076'",",'Col':",COLUMN(BCTaiSan_06027!#REF!),",'Row':",ROW(BCTaiSan_06027!#REF!),",","'ColDynamic':",COLUMN(BCTaiSan_06027!#REF!),",","'RowDynamic':",ROW(BCTaiSan_06027!#REF!),",","'Format':'numberic'",",'Value':'",SUBSTITUTE(BCTaiSan_06027!#REF!,"'","\'"),"','TargetCode':''}")</f>
        <v>#REF!</v>
      </c>
    </row>
    <row r="16" spans="1:1" x14ac:dyDescent="0.2">
      <c r="A16" t="e">
        <f>CONCATENATE("{'SheetId':'0e67e680-b807-4d33-99c0-7b78881f5ae3'",",","'UId':'fb855310-3841-4c5f-87d5-268ca986b42e'",",'Col':",COLUMN(BCTaiSan_06027!#REF!),",'Row':",ROW(BCTaiSan_06027!#REF!),",","'ColDynamic':",COLUMN(BCTaiSan_06027!#REF!),",","'RowDynamic':",ROW(BCTaiSan_06027!#REF!),",","'Format':'string'",",'Value':'",SUBSTITUTE(BCTaiSan_06027!#REF!,"'","\'"),"','TargetCode':''}")</f>
        <v>#REF!</v>
      </c>
    </row>
    <row r="17" spans="1:1" x14ac:dyDescent="0.2">
      <c r="A17" t="e">
        <f>CONCATENATE("{'SheetId':'0e67e680-b807-4d33-99c0-7b78881f5ae3'",",","'UId':'bd4035f3-fc0e-41b7-aebc-cbf0f617fa15'",",'Col':",COLUMN(BCTaiSan_06027!#REF!),",'Row':",ROW(BCTaiSan_06027!#REF!),",","'ColDynamic':",COLUMN(BCTaiSan_06027!#REF!),",","'RowDynamic':",ROW(BCTaiSan_06027!#REF!),",","'Format':'string'",",'Value':'",SUBSTITUTE(BCTaiSan_06027!#REF!,"'","\'"),"','TargetCode':''}")</f>
        <v>#REF!</v>
      </c>
    </row>
    <row r="18" spans="1:1" x14ac:dyDescent="0.2">
      <c r="A18" t="e">
        <f>CONCATENATE("{'SheetId':'0e67e680-b807-4d33-99c0-7b78881f5ae3'",",","'UId':'b6793ba6-95f9-4417-b7a0-5b2f22a9b4cf'",",'Col':",COLUMN(BCTaiSan_06027!#REF!),",'Row':",ROW(BCTaiSan_06027!#REF!),",","'ColDynamic':",COLUMN(BCTaiSan_06027!#REF!),",","'RowDynamic':",ROW(BCTaiSan_06027!#REF!),",","'Format':'string'",",'Value':'",SUBSTITUTE(BCTaiSan_06027!#REF!,"'","\'"),"','TargetCode':''}")</f>
        <v>#REF!</v>
      </c>
    </row>
    <row r="19" spans="1:1" x14ac:dyDescent="0.2">
      <c r="A19" t="e">
        <f>CONCATENATE("{'SheetId':'0e67e680-b807-4d33-99c0-7b78881f5ae3'",",","'UId':'c59bc369-ef6c-4ae7-8932-3d3cd7b0f999'",",'Col':",COLUMN(BCTaiSan_06027!#REF!),",'Row':",ROW(BCTaiSan_06027!#REF!),",","'ColDynamic':",COLUMN(BCTaiSan_06027!#REF!),",","'RowDynamic':",ROW(BCTaiSan_06027!#REF!),",","'Format':'numberic'",",'Value':'",SUBSTITUTE(BCTaiSan_06027!#REF!,"'","\'"),"','TargetCode':''}")</f>
        <v>#REF!</v>
      </c>
    </row>
    <row r="20" spans="1:1" x14ac:dyDescent="0.2">
      <c r="A20" t="e">
        <f>CONCATENATE("{'SheetId':'0e67e680-b807-4d33-99c0-7b78881f5ae3'",",","'UId':'71da1168-8366-41b4-a97a-ac130f3a71ab'",",'Col':",COLUMN(BCTaiSan_06027!#REF!),",'Row':",ROW(BCTaiSan_06027!#REF!),",","'ColDynamic':",COLUMN(BCTaiSan_06027!#REF!),",","'RowDynamic':",ROW(BCTaiSan_06027!#REF!),",","'Format':'numberic'",",'Value':'",SUBSTITUTE(BCTaiSan_06027!#REF!,"'","\'"),"','TargetCode':''}")</f>
        <v>#REF!</v>
      </c>
    </row>
    <row r="21" spans="1:1" x14ac:dyDescent="0.2">
      <c r="A21" t="e">
        <f>CONCATENATE("{'SheetId':'0e67e680-b807-4d33-99c0-7b78881f5ae3'",",","'UId':'3c022ada-eb27-4aed-bf94-d517130be29a'",",'Col':",COLUMN(BCTaiSan_06027!#REF!),",'Row':",ROW(BCTaiSan_06027!#REF!),",","'ColDynamic':",COLUMN(BCTaiSan_06027!#REF!),",","'RowDynamic':",ROW(BCTaiSan_06027!#REF!),",","'Format':'numberic'",",'Value':'",SUBSTITUTE(BCTaiSan_06027!#REF!,"'","\'"),"','TargetCode':''}")</f>
        <v>#REF!</v>
      </c>
    </row>
    <row r="22" spans="1:1" x14ac:dyDescent="0.2">
      <c r="A22" t="e">
        <f>CONCATENATE("{'SheetId':'0e67e680-b807-4d33-99c0-7b78881f5ae3'",",","'UId':'ba2b6807-d3cf-4e7e-ae45-89e2239b81be'",",'Col':",COLUMN(BCTaiSan_06027!#REF!),",'Row':",ROW(BCTaiSan_06027!#REF!),",","'ColDynamic':",COLUMN(BCTaiSan_06027!#REF!),",","'RowDynamic':",ROW(BCTaiSan_06027!#REF!),",","'Format':'numberic'",",'Value':'",SUBSTITUTE(BCTaiSan_06027!#REF!,"'","\'"),"','TargetCode':''}")</f>
        <v>#REF!</v>
      </c>
    </row>
    <row r="23" spans="1:1" x14ac:dyDescent="0.2">
      <c r="A23" t="e">
        <f>CONCATENATE("{'SheetId':'0e67e680-b807-4d33-99c0-7b78881f5ae3'",",","'UId':'80fabe68-3c28-49f8-84cd-635610bc3cfb'",",'Col':",COLUMN(BCTaiSan_06027!#REF!),",'Row':",ROW(BCTaiSan_06027!#REF!),",","'ColDynamic':",COLUMN(BCTaiSan_06027!#REF!),",","'RowDynamic':",ROW(BCTaiSan_06027!#REF!),",","'Format':'string'",",'Value':'",SUBSTITUTE(BCTaiSan_06027!#REF!,"'","\'"),"','TargetCode':''}")</f>
        <v>#REF!</v>
      </c>
    </row>
    <row r="24" spans="1:1" x14ac:dyDescent="0.2">
      <c r="A24" t="e">
        <f>CONCATENATE("{'SheetId':'0e67e680-b807-4d33-99c0-7b78881f5ae3'",",","'UId':'14b822e4-b397-46cc-ae75-1870f955de3d'",",'Col':",COLUMN(BCTaiSan_06027!#REF!),",'Row':",ROW(BCTaiSan_06027!#REF!),",","'ColDynamic':",COLUMN(BCTaiSan_06027!#REF!),",","'RowDynamic':",ROW(BCTaiSan_06027!#REF!),",","'Format':'numberic'",",'Value':'",SUBSTITUTE(BCTaiSan_06027!#REF!,"'","\'"),"','TargetCode':''}")</f>
        <v>#REF!</v>
      </c>
    </row>
    <row r="25" spans="1:1" x14ac:dyDescent="0.2">
      <c r="A25" t="e">
        <f>CONCATENATE("{'SheetId':'0e67e680-b807-4d33-99c0-7b78881f5ae3'",",","'UId':'b8149440-102f-40c1-888b-ecbcac315c2f'",",'Col':",COLUMN(BCTaiSan_06027!#REF!),",'Row':",ROW(BCTaiSan_06027!#REF!),",","'ColDynamic':",COLUMN(BCTaiSan_06027!#REF!),",","'RowDynamic':",ROW(BCTaiSan_06027!#REF!),",","'Format':'numberic'",",'Value':'",SUBSTITUTE(BCTaiSan_06027!#REF!,"'","\'"),"','TargetCode':''}")</f>
        <v>#REF!</v>
      </c>
    </row>
    <row r="26" spans="1:1" x14ac:dyDescent="0.2">
      <c r="A26" t="e">
        <f>CONCATENATE("{'SheetId':'0e67e680-b807-4d33-99c0-7b78881f5ae3'",",","'UId':'c07f2502-4acc-490f-ac11-f416fd5d4af2'",",'Col':",COLUMN(BCTaiSan_06027!#REF!),",'Row':",ROW(BCTaiSan_06027!#REF!),",","'ColDynamic':",COLUMN(BCTaiSan_06027!#REF!),",","'RowDynamic':",ROW(BCTaiSan_06027!#REF!),",","'Format':'numberic'",",'Value':'",SUBSTITUTE(BCTaiSan_06027!#REF!,"'","\'"),"','TargetCode':''}")</f>
        <v>#REF!</v>
      </c>
    </row>
    <row r="27" spans="1:1" x14ac:dyDescent="0.2">
      <c r="A27" t="e">
        <f>CONCATENATE("{'SheetId':'0e67e680-b807-4d33-99c0-7b78881f5ae3'",",","'UId':'1f2e67f4-aa74-416d-b513-cc35fc47fc89'",",'Col':",COLUMN(BCTaiSan_06027!#REF!),",'Row':",ROW(BCTaiSan_06027!#REF!),",","'ColDynamic':",COLUMN(BCTaiSan_06027!#REF!),",","'RowDynamic':",ROW(BCTaiSan_06027!#REF!),",","'Format':'numberic'",",'Value':'",SUBSTITUTE(BCTaiSan_06027!#REF!,"'","\'"),"','TargetCode':''}")</f>
        <v>#REF!</v>
      </c>
    </row>
    <row r="28" spans="1:1" x14ac:dyDescent="0.2">
      <c r="A28" t="e">
        <f>CONCATENATE("{'SheetId':'0e67e680-b807-4d33-99c0-7b78881f5ae3'",",","'UId':'19fdf401-8f84-4529-8406-9bf3720c81ee'",",'Col':",COLUMN(BCTaiSan_06027!#REF!),",'Row':",ROW(BCTaiSan_06027!#REF!),",","'Format':'numberic'",",'Value':'",SUBSTITUTE(BCTaiSan_06027!#REF!,"'","\'"),"','TargetCode':''}")</f>
        <v>#REF!</v>
      </c>
    </row>
    <row r="29" spans="1:1" x14ac:dyDescent="0.2">
      <c r="A29" t="e">
        <f>CONCATENATE("{'SheetId':'0e67e680-b807-4d33-99c0-7b78881f5ae3'",",","'UId':'23400615-8c2c-4ac4-ad17-e281f9ea4ede'",",'Col':",COLUMN(BCTaiSan_06027!#REF!),",'Row':",ROW(BCTaiSan_06027!#REF!),",","'Format':'numberic'",",'Value':'",SUBSTITUTE(BCTaiSan_06027!#REF!,"'","\'"),"','TargetCode':''}")</f>
        <v>#REF!</v>
      </c>
    </row>
    <row r="30" spans="1:1" x14ac:dyDescent="0.2">
      <c r="A30" t="e">
        <f>CONCATENATE("{'SheetId':'0e67e680-b807-4d33-99c0-7b78881f5ae3'",",","'UId':'81f9c1fb-a190-42a2-964f-1f7790423cc5'",",'Col':",COLUMN(BCTaiSan_06027!#REF!),",'Row':",ROW(BCTaiSan_06027!#REF!),",","'Format':'numberic'",",'Value':'",SUBSTITUTE(BCTaiSan_06027!#REF!,"'","\'"),"','TargetCode':''}")</f>
        <v>#REF!</v>
      </c>
    </row>
    <row r="31" spans="1:1" x14ac:dyDescent="0.2">
      <c r="A31" t="e">
        <f>CONCATENATE("{'SheetId':'0e67e680-b807-4d33-99c0-7b78881f5ae3'",",","'UId':'b4c0ee30-dd77-4ee0-8b84-0eca9c6aef84'",",'Col':",COLUMN(BCTaiSan_06027!#REF!),",'Row':",ROW(BCTaiSan_06027!#REF!),",","'ColDynamic':",COLUMN(BCTaiSan_06027!#REF!),",","'RowDynamic':",ROW(BCTaiSan_06027!#REF!),",","'Format':'string'",",'Value':'",SUBSTITUTE(BCTaiSan_06027!#REF!,"'","\'"),"','TargetCode':''}")</f>
        <v>#REF!</v>
      </c>
    </row>
    <row r="32" spans="1:1" x14ac:dyDescent="0.2">
      <c r="A32" t="e">
        <f>CONCATENATE("{'SheetId':'0e67e680-b807-4d33-99c0-7b78881f5ae3'",",","'UId':'55c7b2c2-f5f8-4a72-8e4a-040eb2c74cf1'",",'Col':",COLUMN(BCTaiSan_06027!#REF!),",'Row':",ROW(BCTaiSan_06027!#REF!),",","'ColDynamic':",COLUMN(BCTaiSan_06027!#REF!),",","'RowDynamic':",ROW(BCTaiSan_06027!#REF!),",","'Format':'string'",",'Value':'",SUBSTITUTE(BCTaiSan_06027!#REF!,"'","\'"),"','TargetCode':''}")</f>
        <v>#REF!</v>
      </c>
    </row>
    <row r="33" spans="1:1" x14ac:dyDescent="0.2">
      <c r="A33" t="e">
        <f>CONCATENATE("{'SheetId':'0e67e680-b807-4d33-99c0-7b78881f5ae3'",",","'UId':'353bc353-1898-4fe5-b702-b1e9dbee7e4d'",",'Col':",COLUMN(BCTaiSan_06027!#REF!),",'Row':",ROW(BCTaiSan_06027!#REF!),",","'ColDynamic':",COLUMN(BCTaiSan_06027!#REF!),",","'RowDynamic':",ROW(BCTaiSan_06027!#REF!),",","'Format':'string'",",'Value':'",SUBSTITUTE(BCTaiSan_06027!#REF!,"'","\'"),"','TargetCode':''}")</f>
        <v>#REF!</v>
      </c>
    </row>
    <row r="34" spans="1:1" x14ac:dyDescent="0.2">
      <c r="A34" t="e">
        <f>CONCATENATE("{'SheetId':'0e67e680-b807-4d33-99c0-7b78881f5ae3'",",","'UId':'aaa47aee-de9e-4a72-aaac-e89970beaace'",",'Col':",COLUMN(BCTaiSan_06027!#REF!),",'Row':",ROW(BCTaiSan_06027!#REF!),",","'ColDynamic':",COLUMN(BCTaiSan_06027!#REF!),",","'RowDynamic':",ROW(BCTaiSan_06027!#REF!),",","'Format':'numberic'",",'Value':'",SUBSTITUTE(BCTaiSan_06027!#REF!,"'","\'"),"','TargetCode':''}")</f>
        <v>#REF!</v>
      </c>
    </row>
    <row r="35" spans="1:1" x14ac:dyDescent="0.2">
      <c r="A35" t="e">
        <f>CONCATENATE("{'SheetId':'0e67e680-b807-4d33-99c0-7b78881f5ae3'",",","'UId':'c31cdabe-83ce-456c-8300-7b06d46f81cc'",",'Col':",COLUMN(BCTaiSan_06027!#REF!),",'Row':",ROW(BCTaiSan_06027!#REF!),",","'ColDynamic':",COLUMN(BCTaiSan_06027!#REF!),",","'RowDynamic':",ROW(BCTaiSan_06027!#REF!),",","'Format':'numberic'",",'Value':'",SUBSTITUTE(BCTaiSan_06027!#REF!,"'","\'"),"','TargetCode':''}")</f>
        <v>#REF!</v>
      </c>
    </row>
    <row r="36" spans="1:1" x14ac:dyDescent="0.2">
      <c r="A36" t="e">
        <f>CONCATENATE("{'SheetId':'0e67e680-b807-4d33-99c0-7b78881f5ae3'",",","'UId':'df064eb2-539c-42cd-9667-ecd8effb04f7'",",'Col':",COLUMN(BCTaiSan_06027!#REF!),",'Row':",ROW(BCTaiSan_06027!#REF!),",","'ColDynamic':",COLUMN(BCTaiSan_06027!#REF!),",","'RowDynamic':",ROW(BCTaiSan_06027!#REF!),",","'Format':'numberic'",",'Value':'",SUBSTITUTE(BCTaiSan_06027!#REF!,"'","\'"),"','TargetCode':''}")</f>
        <v>#REF!</v>
      </c>
    </row>
    <row r="37" spans="1:1" x14ac:dyDescent="0.2">
      <c r="A37" t="e">
        <f>CONCATENATE("{'SheetId':'0e67e680-b807-4d33-99c0-7b78881f5ae3'",",","'UId':'ebf03302-905f-4429-bd11-8a0e8477bdcc'",",'Col':",COLUMN(BCTaiSan_06027!#REF!),",'Row':",ROW(BCTaiSan_06027!#REF!),",","'ColDynamic':",COLUMN(BCTaiSan_06027!#REF!),",","'RowDynamic':",ROW(BCTaiSan_06027!#REF!),",","'Format':'numberic'",",'Value':'",SUBSTITUTE(BCTaiSan_06027!#REF!,"'","\'"),"','TargetCode':''}")</f>
        <v>#REF!</v>
      </c>
    </row>
    <row r="38" spans="1:1" x14ac:dyDescent="0.2">
      <c r="A38" t="e">
        <f>CONCATENATE("{'SheetId':'0e67e680-b807-4d33-99c0-7b78881f5ae3'",",","'UId':'3de36bfb-b19c-4de9-bf25-827f3b8027bf'",",'Col':",COLUMN(BCTaiSan_06027!#REF!),",'Row':",ROW(BCTaiSan_06027!#REF!),",","'ColDynamic':",COLUMN(BCTaiSan_06027!#REF!),",","'RowDynamic':",ROW(BCTaiSan_06027!#REF!),",","'Format':'string'",",'Value':'",SUBSTITUTE(BCTaiSan_06027!#REF!,"'","\'"),"','TargetCode':''}")</f>
        <v>#REF!</v>
      </c>
    </row>
    <row r="39" spans="1:1" x14ac:dyDescent="0.2">
      <c r="A39" t="e">
        <f>CONCATENATE("{'SheetId':'0e67e680-b807-4d33-99c0-7b78881f5ae3'",",","'UId':'ca7cc9ff-75c2-4a73-a531-b206f65419ec'",",'Col':",COLUMN(BCTaiSan_06027!#REF!),",'Row':",ROW(BCTaiSan_06027!#REF!),",","'ColDynamic':",COLUMN(BCTaiSan_06027!#REF!),",","'RowDynamic':",ROW(BCTaiSan_06027!#REF!),",","'Format':'numberic'",",'Value':'",SUBSTITUTE(BCTaiSan_06027!#REF!,"'","\'"),"','TargetCode':''}")</f>
        <v>#REF!</v>
      </c>
    </row>
    <row r="40" spans="1:1" x14ac:dyDescent="0.2">
      <c r="A40" t="e">
        <f>CONCATENATE("{'SheetId':'0e67e680-b807-4d33-99c0-7b78881f5ae3'",",","'UId':'85258d35-57c4-470f-8e91-0e5eb1b5f98e'",",'Col':",COLUMN(BCTaiSan_06027!#REF!),",'Row':",ROW(BCTaiSan_06027!#REF!),",","'ColDynamic':",COLUMN(BCTaiSan_06027!#REF!),",","'RowDynamic':",ROW(BCTaiSan_06027!#REF!),",","'Format':'numberic'",",'Value':'",SUBSTITUTE(BCTaiSan_06027!#REF!,"'","\'"),"','TargetCode':''}")</f>
        <v>#REF!</v>
      </c>
    </row>
    <row r="41" spans="1:1" x14ac:dyDescent="0.2">
      <c r="A41" t="e">
        <f>CONCATENATE("{'SheetId':'0e67e680-b807-4d33-99c0-7b78881f5ae3'",",","'UId':'b7831eb0-d957-42e3-b024-b595e932c4c4'",",'Col':",COLUMN(BCTaiSan_06027!#REF!),",'Row':",ROW(BCTaiSan_06027!#REF!),",","'ColDynamic':",COLUMN(BCTaiSan_06027!#REF!),",","'RowDynamic':",ROW(BCTaiSan_06027!#REF!),",","'Format':'numberic'",",'Value':'",SUBSTITUTE(BCTaiSan_06027!#REF!,"'","\'"),"','TargetCode':''}")</f>
        <v>#REF!</v>
      </c>
    </row>
    <row r="42" spans="1:1" x14ac:dyDescent="0.2">
      <c r="A42" t="e">
        <f>CONCATENATE("{'SheetId':'0e67e680-b807-4d33-99c0-7b78881f5ae3'",",","'UId':'159c2c62-ad7f-4978-87f5-48256ed29f55'",",'Col':",COLUMN(BCTaiSan_06027!#REF!),",'Row':",ROW(BCTaiSan_06027!#REF!),",","'ColDynamic':",COLUMN(BCTaiSan_06027!#REF!),",","'RowDynamic':",ROW(BCTaiSan_06027!#REF!),",","'Format':'numberic'",",'Value':'",SUBSTITUTE(BCTaiSan_06027!#REF!,"'","\'"),"','TargetCode':''}")</f>
        <v>#REF!</v>
      </c>
    </row>
    <row r="43" spans="1:1" x14ac:dyDescent="0.2">
      <c r="A43" t="e">
        <f>CONCATENATE("{'SheetId':'0e67e680-b807-4d33-99c0-7b78881f5ae3'",",","'UId':'4db3253d-9c46-4d6e-918f-a429377ea210'",",'Col':",COLUMN(BCTaiSan_06027!#REF!),",'Row':",ROW(BCTaiSan_06027!#REF!),",","'Format':'numberic'",",'Value':'",SUBSTITUTE(BCTaiSan_06027!#REF!,"'","\'"),"','TargetCode':''}")</f>
        <v>#REF!</v>
      </c>
    </row>
    <row r="44" spans="1:1" x14ac:dyDescent="0.2">
      <c r="A44" t="e">
        <f>CONCATENATE("{'SheetId':'0e67e680-b807-4d33-99c0-7b78881f5ae3'",",","'UId':'1b5619ce-07bd-4f38-b89d-ff10d4440cfc'",",'Col':",COLUMN(BCTaiSan_06027!#REF!),",'Row':",ROW(BCTaiSan_06027!#REF!),",","'Format':'numberic'",",'Value':'",SUBSTITUTE(BCTaiSan_06027!#REF!,"'","\'"),"','TargetCode':''}")</f>
        <v>#REF!</v>
      </c>
    </row>
    <row r="45" spans="1:1" x14ac:dyDescent="0.2">
      <c r="A45" t="e">
        <f>CONCATENATE("{'SheetId':'0e67e680-b807-4d33-99c0-7b78881f5ae3'",",","'UId':'e662b89a-1c2d-4d21-94c4-5d786440cb11'",",'Col':",COLUMN(BCTaiSan_06027!#REF!),",'Row':",ROW(BCTaiSan_06027!#REF!),",","'Format':'numberic'",",'Value':'",SUBSTITUTE(BCTaiSan_06027!#REF!,"'","\'"),"','TargetCode':''}")</f>
        <v>#REF!</v>
      </c>
    </row>
    <row r="46" spans="1:1" x14ac:dyDescent="0.2">
      <c r="A46" t="e">
        <f>CONCATENATE("{'SheetId':'0e67e680-b807-4d33-99c0-7b78881f5ae3'",",","'UId':'f1ed2509-c4ff-4ae9-b430-d4f9ddcf73ac'",",'Col':",COLUMN(BCTaiSan_06027!#REF!),",'Row':",ROW(BCTaiSan_06027!#REF!),",","'ColDynamic':",COLUMN(BCTaiSan_06027!#REF!),",","'RowDynamic':",ROW(BCTaiSan_06027!#REF!),",","'Format':'numberic'",",'Value':'",SUBSTITUTE(BCTaiSan_06027!#REF!,"'","\'"),"','TargetCode':''}")</f>
        <v>#REF!</v>
      </c>
    </row>
    <row r="47" spans="1:1" x14ac:dyDescent="0.2">
      <c r="A47" t="e">
        <f>CONCATENATE("{'SheetId':'0e67e680-b807-4d33-99c0-7b78881f5ae3'",",","'UId':'a0aac484-78db-4dea-8f00-f980c5366deb'",",'Col':",COLUMN(BCTaiSan_06027!#REF!),",'Row':",ROW(BCTaiSan_06027!#REF!),",","'ColDynamic':",COLUMN(BCTaiSan_06027!#REF!),",","'RowDynamic':",ROW(BCTaiSan_06027!#REF!),",","'Format':'string'",",'Value':'",SUBSTITUTE(BCTaiSan_06027!#REF!,"'","\'"),"','TargetCode':''}")</f>
        <v>#REF!</v>
      </c>
    </row>
    <row r="48" spans="1:1" x14ac:dyDescent="0.2">
      <c r="A48" t="e">
        <f>CONCATENATE("{'SheetId':'0e67e680-b807-4d33-99c0-7b78881f5ae3'",",","'UId':'57124953-4b8d-461b-9e2b-2d368273b709'",",'Col':",COLUMN(BCTaiSan_06027!#REF!),",'Row':",ROW(BCTaiSan_06027!#REF!),",","'ColDynamic':",COLUMN(BCTaiSan_06027!#REF!),",","'RowDynamic':",ROW(BCTaiSan_06027!#REF!),",","'Format':'numberic'",",'Value':'",SUBSTITUTE(BCTaiSan_06027!#REF!,"'","\'"),"','TargetCode':''}")</f>
        <v>#REF!</v>
      </c>
    </row>
    <row r="49" spans="1:1" x14ac:dyDescent="0.2">
      <c r="A49" t="e">
        <f>CONCATENATE("{'SheetId':'0e67e680-b807-4d33-99c0-7b78881f5ae3'",",","'UId':'2cc09d96-6086-4dda-b944-4d886ecbb0d8'",",'Col':",COLUMN(BCTaiSan_06027!#REF!),",'Row':",ROW(BCTaiSan_06027!#REF!),",","'ColDynamic':",COLUMN(BCTaiSan_06027!#REF!),",","'RowDynamic':",ROW(BCTaiSan_06027!#REF!),",","'Format':'numberic'",",'Value':'",SUBSTITUTE(BCTaiSan_06027!#REF!,"'","\'"),"','TargetCode':''}")</f>
        <v>#REF!</v>
      </c>
    </row>
    <row r="50" spans="1:1" x14ac:dyDescent="0.2">
      <c r="A50" t="e">
        <f>CONCATENATE("{'SheetId':'0e67e680-b807-4d33-99c0-7b78881f5ae3'",",","'UId':'7b7d0fb3-4da0-4490-a267-504a23e39de9'",",'Col':",COLUMN(BCTaiSan_06027!#REF!),",'Row':",ROW(BCTaiSan_06027!#REF!),",","'ColDynamic':",COLUMN(BCTaiSan_06027!#REF!),",","'RowDynamic':",ROW(BCTaiSan_06027!#REF!),",","'Format':'numberic'",",'Value':'",SUBSTITUTE(BCTaiSan_06027!#REF!,"'","\'"),"','TargetCode':''}")</f>
        <v>#REF!</v>
      </c>
    </row>
    <row r="51" spans="1:1" x14ac:dyDescent="0.2">
      <c r="A51" t="e">
        <f>CONCATENATE("{'SheetId':'0e67e680-b807-4d33-99c0-7b78881f5ae3'",",","'UId':'528d14e8-1a6c-45f0-97ec-807048f5c747'",",'Col':",COLUMN(BCTaiSan_06027!#REF!),",'Row':",ROW(BCTaiSan_06027!#REF!),",","'ColDynamic':",COLUMN(BCTaiSan_06027!#REF!),",","'RowDynamic':",ROW(BCTaiSan_06027!#REF!),",","'Format':'numberic'",",'Value':'",SUBSTITUTE(BCTaiSan_06027!#REF!,"'","\'"),"','TargetCode':''}")</f>
        <v>#REF!</v>
      </c>
    </row>
    <row r="52" spans="1:1" x14ac:dyDescent="0.2">
      <c r="A52" t="e">
        <f>CONCATENATE("{'SheetId':'0e67e680-b807-4d33-99c0-7b78881f5ae3'",",","'UId':'2955d8e1-bb85-470d-810e-e670e4ee9763'",",'Col':",COLUMN(BCTaiSan_06027!#REF!),",'Row':",ROW(BCTaiSan_06027!#REF!),",","'Format':'numberic'",",'Value':'",SUBSTITUTE(BCTaiSan_06027!#REF!,"'","\'"),"','TargetCode':''}")</f>
        <v>#REF!</v>
      </c>
    </row>
    <row r="53" spans="1:1" x14ac:dyDescent="0.2">
      <c r="A53" t="e">
        <f>CONCATENATE("{'SheetId':'0e67e680-b807-4d33-99c0-7b78881f5ae3'",",","'UId':'54c4f244-7feb-4326-af72-7b2f8cf16a37'",",'Col':",COLUMN(BCTaiSan_06027!#REF!),",'Row':",ROW(BCTaiSan_06027!#REF!),",","'Format':'numberic'",",'Value':'",SUBSTITUTE(BCTaiSan_06027!#REF!,"'","\'"),"','TargetCode':''}")</f>
        <v>#REF!</v>
      </c>
    </row>
    <row r="54" spans="1:1" x14ac:dyDescent="0.2">
      <c r="A54" t="e">
        <f>CONCATENATE("{'SheetId':'0e67e680-b807-4d33-99c0-7b78881f5ae3'",",","'UId':'9670a190-b315-4332-be4b-7bd49a951b82'",",'Col':",COLUMN(BCTaiSan_06027!#REF!),",'Row':",ROW(BCTaiSan_06027!#REF!),",","'Format':'numberic'",",'Value':'",SUBSTITUTE(BCTaiSan_06027!#REF!,"'","\'"),"','TargetCode':''}")</f>
        <v>#REF!</v>
      </c>
    </row>
    <row r="55" spans="1:1" x14ac:dyDescent="0.2">
      <c r="A55" t="e">
        <f>CONCATENATE("{'SheetId':'0e67e680-b807-4d33-99c0-7b78881f5ae3'",",","'UId':'f6e8f96a-7d1a-40c6-83bc-7f810f0d4bca'",",'Col':",COLUMN(BCTaiSan_06027!#REF!),",'Row':",ROW(BCTaiSan_06027!#REF!),",","'ColDynamic':",COLUMN(BCTaiSan_06027!#REF!),",","'RowDynamic':",ROW(BCTaiSan_06027!#REF!),",","'Format':'string'",",'Value':'",SUBSTITUTE(BCTaiSan_06027!#REF!,"'","\'"),"','TargetCode':''}")</f>
        <v>#REF!</v>
      </c>
    </row>
    <row r="56" spans="1:1" x14ac:dyDescent="0.2">
      <c r="A56" t="e">
        <f>CONCATENATE("{'SheetId':'0e67e680-b807-4d33-99c0-7b78881f5ae3'",",","'UId':'7c64f929-b467-4787-9955-f41bc6936b40'",",'Col':",COLUMN(BCTaiSan_06027!#REF!),",'Row':",ROW(BCTaiSan_06027!#REF!),",","'ColDynamic':",COLUMN(BCTaiSan_06027!#REF!),",","'RowDynamic':",ROW(BCTaiSan_06027!#REF!),",","'Format':'string'",",'Value':'",SUBSTITUTE(BCTaiSan_06027!#REF!,"'","\'"),"','TargetCode':''}")</f>
        <v>#REF!</v>
      </c>
    </row>
    <row r="57" spans="1:1" x14ac:dyDescent="0.2">
      <c r="A57" t="e">
        <f>CONCATENATE("{'SheetId':'0e67e680-b807-4d33-99c0-7b78881f5ae3'",",","'UId':'730f40b2-130a-4097-88f9-f009a3862b90'",",'Col':",COLUMN(BCTaiSan_06027!#REF!),",'Row':",ROW(BCTaiSan_06027!#REF!),",","'ColDynamic':",COLUMN(BCTaiSan_06027!#REF!),",","'RowDynamic':",ROW(BCTaiSan_06027!#REF!),",","'Format':'string'",",'Value':'",SUBSTITUTE(BCTaiSan_06027!#REF!,"'","\'"),"','TargetCode':''}")</f>
        <v>#REF!</v>
      </c>
    </row>
    <row r="58" spans="1:1" x14ac:dyDescent="0.2">
      <c r="A58" t="e">
        <f>CONCATENATE("{'SheetId':'0e67e680-b807-4d33-99c0-7b78881f5ae3'",",","'UId':'fd93a4a0-c67a-4490-8678-85ab28c59627'",",'Col':",COLUMN(BCTaiSan_06027!#REF!),",'Row':",ROW(BCTaiSan_06027!#REF!),",","'ColDynamic':",COLUMN(BCTaiSan_06027!#REF!),",","'RowDynamic':",ROW(BCTaiSan_06027!#REF!),",","'Format':'numberic'",",'Value':'",SUBSTITUTE(BCTaiSan_06027!#REF!,"'","\'"),"','TargetCode':''}")</f>
        <v>#REF!</v>
      </c>
    </row>
    <row r="59" spans="1:1" x14ac:dyDescent="0.2">
      <c r="A59" t="e">
        <f>CONCATENATE("{'SheetId':'0e67e680-b807-4d33-99c0-7b78881f5ae3'",",","'UId':'fcf911ca-e231-4e37-ba04-31a4d132b264'",",'Col':",COLUMN(BCTaiSan_06027!#REF!),",'Row':",ROW(BCTaiSan_06027!#REF!),",","'ColDynamic':",COLUMN(BCTaiSan_06027!#REF!),",","'RowDynamic':",ROW(BCTaiSan_06027!#REF!),",","'Format':'numberic'",",'Value':'",SUBSTITUTE(BCTaiSan_06027!#REF!,"'","\'"),"','TargetCode':''}")</f>
        <v>#REF!</v>
      </c>
    </row>
    <row r="60" spans="1:1" x14ac:dyDescent="0.2">
      <c r="A60" t="e">
        <f>CONCATENATE("{'SheetId':'0e67e680-b807-4d33-99c0-7b78881f5ae3'",",","'UId':'2d289968-fbe5-4b0a-bf5f-8a6df071d197'",",'Col':",COLUMN(BCTaiSan_06027!#REF!),",'Row':",ROW(BCTaiSan_06027!#REF!),",","'ColDynamic':",COLUMN(BCTaiSan_06027!#REF!),",","'RowDynamic':",ROW(BCTaiSan_06027!#REF!),",","'Format':'numberic'",",'Value':'",SUBSTITUTE(BCTaiSan_06027!#REF!,"'","\'"),"','TargetCode':''}")</f>
        <v>#REF!</v>
      </c>
    </row>
    <row r="61" spans="1:1" x14ac:dyDescent="0.2">
      <c r="A61" t="e">
        <f>CONCATENATE("{'SheetId':'0e67e680-b807-4d33-99c0-7b78881f5ae3'",",","'UId':'429113b4-21c3-4d2d-a49e-e54b8fa3448b'",",'Col':",COLUMN(BCTaiSan_06027!#REF!),",'Row':",ROW(BCTaiSan_06027!#REF!),",","'ColDynamic':",COLUMN(BCTaiSan_06027!#REF!),",","'RowDynamic':",ROW(BCTaiSan_06027!#REF!),",","'Format':'numberic'",",'Value':'",SUBSTITUTE(BCTaiSan_06027!#REF!,"'","\'"),"','TargetCode':''}")</f>
        <v>#REF!</v>
      </c>
    </row>
    <row r="62" spans="1:1" x14ac:dyDescent="0.2">
      <c r="A62" t="e">
        <f>CONCATENATE("{'SheetId':'0e67e680-b807-4d33-99c0-7b78881f5ae3'",",","'UId':'b0d4f040-e48a-49a4-89cb-82ab4377326b'",",'Col':",COLUMN(BCTaiSan_06027!#REF!),",'Row':",ROW(BCTaiSan_06027!#REF!),",","'ColDynamic':",COLUMN(BCTaiSan_06027!#REF!),",","'RowDynamic':",ROW(BCTaiSan_06027!#REF!),",","'Format':'string'",",'Value':'",SUBSTITUTE(BCTaiSan_06027!#REF!,"'","\'"),"','TargetCode':''}")</f>
        <v>#REF!</v>
      </c>
    </row>
    <row r="63" spans="1:1" x14ac:dyDescent="0.2">
      <c r="A63" t="e">
        <f>CONCATENATE("{'SheetId':'0e67e680-b807-4d33-99c0-7b78881f5ae3'",",","'UId':'065408bc-53bc-4b2d-a05d-d6b3cb7b5141'",",'Col':",COLUMN(BCTaiSan_06027!#REF!),",'Row':",ROW(BCTaiSan_06027!#REF!),",","'ColDynamic':",COLUMN(BCTaiSan_06027!#REF!),",","'RowDynamic':",ROW(BCTaiSan_06027!#REF!),",","'Format':'numberic'",",'Value':'",SUBSTITUTE(BCTaiSan_06027!#REF!,"'","\'"),"','TargetCode':''}")</f>
        <v>#REF!</v>
      </c>
    </row>
    <row r="64" spans="1:1" x14ac:dyDescent="0.2">
      <c r="A64" t="e">
        <f>CONCATENATE("{'SheetId':'0e67e680-b807-4d33-99c0-7b78881f5ae3'",",","'UId':'4a94e658-4312-4209-a152-e798cc810997'",",'Col':",COLUMN(BCTaiSan_06027!#REF!),",'Row':",ROW(BCTaiSan_06027!#REF!),",","'ColDynamic':",COLUMN(BCTaiSan_06027!#REF!),",","'RowDynamic':",ROW(BCTaiSan_06027!#REF!),",","'Format':'numberic'",",'Value':'",SUBSTITUTE(BCTaiSan_06027!#REF!,"'","\'"),"','TargetCode':''}")</f>
        <v>#REF!</v>
      </c>
    </row>
    <row r="65" spans="1:1" x14ac:dyDescent="0.2">
      <c r="A65" t="e">
        <f>CONCATENATE("{'SheetId':'0e67e680-b807-4d33-99c0-7b78881f5ae3'",",","'UId':'54ea434c-4c89-49f6-ac6c-9e1d3d39c54a'",",'Col':",COLUMN(BCTaiSan_06027!#REF!),",'Row':",ROW(BCTaiSan_06027!#REF!),",","'ColDynamic':",COLUMN(BCTaiSan_06027!#REF!),",","'RowDynamic':",ROW(BCTaiSan_06027!#REF!),",","'Format':'numberic'",",'Value':'",SUBSTITUTE(BCTaiSan_06027!#REF!,"'","\'"),"','TargetCode':''}")</f>
        <v>#REF!</v>
      </c>
    </row>
    <row r="66" spans="1:1" x14ac:dyDescent="0.2">
      <c r="A66" t="e">
        <f>CONCATENATE("{'SheetId':'0e67e680-b807-4d33-99c0-7b78881f5ae3'",",","'UId':'2b49fc55-ee6e-4a25-8087-c14005ea648d'",",'Col':",COLUMN(BCTaiSan_06027!#REF!),",'Row':",ROW(BCTaiSan_06027!#REF!),",","'ColDynamic':",COLUMN(BCTaiSan_06027!#REF!),",","'RowDynamic':",ROW(BCTaiSan_06027!#REF!),",","'Format':'numberic'",",'Value':'",SUBSTITUTE(BCTaiSan_06027!#REF!,"'","\'"),"','TargetCode':''}")</f>
        <v>#REF!</v>
      </c>
    </row>
    <row r="67" spans="1:1" x14ac:dyDescent="0.2">
      <c r="A67" t="e">
        <f>CONCATENATE("{'SheetId':'0e67e680-b807-4d33-99c0-7b78881f5ae3'",",","'UId':'d3087115-98ed-4310-8087-526a699f72e1'",",'Col':",COLUMN(BCTaiSan_06027!#REF!),",'Row':",ROW(BCTaiSan_06027!#REF!),",","'Format':'numberic'",",'Value':'",SUBSTITUTE(BCTaiSan_06027!#REF!,"'","\'"),"','TargetCode':''}")</f>
        <v>#REF!</v>
      </c>
    </row>
    <row r="68" spans="1:1" x14ac:dyDescent="0.2">
      <c r="A68" t="e">
        <f>CONCATENATE("{'SheetId':'0e67e680-b807-4d33-99c0-7b78881f5ae3'",",","'UId':'01d5d912-b3c4-471a-9f5e-e1ac15c1dcc9'",",'Col':",COLUMN(BCTaiSan_06027!#REF!),",'Row':",ROW(BCTaiSan_06027!#REF!),",","'Format':'numberic'",",'Value':'",SUBSTITUTE(BCTaiSan_06027!#REF!,"'","\'"),"','TargetCode':''}")</f>
        <v>#REF!</v>
      </c>
    </row>
    <row r="69" spans="1:1" x14ac:dyDescent="0.2">
      <c r="A69" t="e">
        <f>CONCATENATE("{'SheetId':'0e67e680-b807-4d33-99c0-7b78881f5ae3'",",","'UId':'3fc92fd1-c570-4931-b42c-dff4adb06154'",",'Col':",COLUMN(BCTaiSan_06027!#REF!),",'Row':",ROW(BCTaiSan_06027!#REF!),",","'Format':'numberic'",",'Value':'",SUBSTITUTE(BCTaiSan_06027!#REF!,"'","\'"),"','TargetCode':''}")</f>
        <v>#REF!</v>
      </c>
    </row>
    <row r="70" spans="1:1" x14ac:dyDescent="0.2">
      <c r="A70" t="e">
        <f>CONCATENATE("{'SheetId':'0e67e680-b807-4d33-99c0-7b78881f5ae3'",",","'UId':'516c7b79-1864-4901-93fb-d328425136ec'",",'Col':",COLUMN(BCTaiSan_06027!#REF!),",'Row':",ROW(BCTaiSan_06027!#REF!),",","'ColDynamic':",COLUMN(BCTaiSan_06027!#REF!),",","'RowDynamic':",ROW(BCTaiSan_06027!#REF!),",","'Format':'numberic'",",'Value':'",SUBSTITUTE(BCTaiSan_06027!#REF!,"'","\'"),"','TargetCode':''}")</f>
        <v>#REF!</v>
      </c>
    </row>
    <row r="71" spans="1:1" x14ac:dyDescent="0.2">
      <c r="A71" t="e">
        <f>CONCATENATE("{'SheetId':'0e67e680-b807-4d33-99c0-7b78881f5ae3'",",","'UId':'f4caa67e-a524-4fd0-9a25-b21fdc9cb36b'",",'Col':",COLUMN(BCTaiSan_06027!#REF!),",'Row':",ROW(BCTaiSan_06027!#REF!),",","'ColDynamic':",COLUMN(BCTaiSan_06027!#REF!),",","'RowDynamic':",ROW(BCTaiSan_06027!#REF!),",","'Format':'string'",",'Value':'",SUBSTITUTE(BCTaiSan_06027!#REF!,"'","\'"),"','TargetCode':''}")</f>
        <v>#REF!</v>
      </c>
    </row>
    <row r="72" spans="1:1" x14ac:dyDescent="0.2">
      <c r="A72" t="e">
        <f>CONCATENATE("{'SheetId':'0e67e680-b807-4d33-99c0-7b78881f5ae3'",",","'UId':'e34073a1-acc4-4210-a0b8-cd92a1be1de1'",",'Col':",COLUMN(BCTaiSan_06027!#REF!),",'Row':",ROW(BCTaiSan_06027!#REF!),",","'ColDynamic':",COLUMN(BCTaiSan_06027!#REF!),",","'RowDynamic':",ROW(BCTaiSan_06027!#REF!),",","'Format':'numberic'",",'Value':'",SUBSTITUTE(BCTaiSan_06027!#REF!,"'","\'"),"','TargetCode':''}")</f>
        <v>#REF!</v>
      </c>
    </row>
    <row r="73" spans="1:1" x14ac:dyDescent="0.2">
      <c r="A73" t="e">
        <f>CONCATENATE("{'SheetId':'0e67e680-b807-4d33-99c0-7b78881f5ae3'",",","'UId':'cb4e2b8d-2714-4d59-b5f7-5af0c9fc0af8'",",'Col':",COLUMN(BCTaiSan_06027!#REF!),",'Row':",ROW(BCTaiSan_06027!#REF!),",","'ColDynamic':",COLUMN(BCTaiSan_06027!#REF!),",","'RowDynamic':",ROW(BCTaiSan_06027!#REF!),",","'Format':'numberic'",",'Value':'",SUBSTITUTE(BCTaiSan_06027!#REF!,"'","\'"),"','TargetCode':''}")</f>
        <v>#REF!</v>
      </c>
    </row>
    <row r="74" spans="1:1" x14ac:dyDescent="0.2">
      <c r="A74" t="e">
        <f>CONCATENATE("{'SheetId':'0e67e680-b807-4d33-99c0-7b78881f5ae3'",",","'UId':'ef81c1d8-21d8-44f1-bbab-d85522915c87'",",'Col':",COLUMN(BCTaiSan_06027!#REF!),",'Row':",ROW(BCTaiSan_06027!#REF!),",","'ColDynamic':",COLUMN(BCTaiSan_06027!#REF!),",","'RowDynamic':",ROW(BCTaiSan_06027!#REF!),",","'Format':'numberic'",",'Value':'",SUBSTITUTE(BCTaiSan_06027!#REF!,"'","\'"),"','TargetCode':''}")</f>
        <v>#REF!</v>
      </c>
    </row>
    <row r="75" spans="1:1" x14ac:dyDescent="0.2">
      <c r="A75" t="e">
        <f>CONCATENATE("{'SheetId':'0e67e680-b807-4d33-99c0-7b78881f5ae3'",",","'UId':'6a8f95a0-636c-4268-a3c5-fb501f5e64f5'",",'Col':",COLUMN(BCTaiSan_06027!#REF!),",'Row':",ROW(BCTaiSan_06027!#REF!),",","'ColDynamic':",COLUMN(BCTaiSan_06027!#REF!),",","'RowDynamic':",ROW(BCTaiSan_06027!#REF!),",","'Format':'numberic'",",'Value':'",SUBSTITUTE(BCTaiSan_06027!#REF!,"'","\'"),"','TargetCode':''}")</f>
        <v>#REF!</v>
      </c>
    </row>
    <row r="76" spans="1:1" x14ac:dyDescent="0.2">
      <c r="A76" t="e">
        <f>CONCATENATE("{'SheetId':'0e67e680-b807-4d33-99c0-7b78881f5ae3'",",","'UId':'022fb1e6-6ae9-4fad-b071-b4b8f748fc24'",",'Col':",COLUMN(BCTaiSan_06027!#REF!),",'Row':",ROW(BCTaiSan_06027!#REF!),",","'Format':'numberic'",",'Value':'",SUBSTITUTE(BCTaiSan_06027!#REF!,"'","\'"),"','TargetCode':''}")</f>
        <v>#REF!</v>
      </c>
    </row>
    <row r="77" spans="1:1" x14ac:dyDescent="0.2">
      <c r="A77" t="e">
        <f>CONCATENATE("{'SheetId':'0e67e680-b807-4d33-99c0-7b78881f5ae3'",",","'UId':'f7a91119-2d9c-4b1a-9f30-9b37a89d8586'",",'Col':",COLUMN(BCTaiSan_06027!#REF!),",'Row':",ROW(BCTaiSan_06027!#REF!),",","'Format':'numberic'",",'Value':'",SUBSTITUTE(BCTaiSan_06027!#REF!,"'","\'"),"','TargetCode':''}")</f>
        <v>#REF!</v>
      </c>
    </row>
    <row r="78" spans="1:1" x14ac:dyDescent="0.2">
      <c r="A78" t="e">
        <f>CONCATENATE("{'SheetId':'0e67e680-b807-4d33-99c0-7b78881f5ae3'",",","'UId':'20b22da0-50b8-43d3-8775-3e42bfc7ac25'",",'Col':",COLUMN(BCTaiSan_06027!#REF!),",'Row':",ROW(BCTaiSan_06027!#REF!),",","'Format':'numberic'",",'Value':'",SUBSTITUTE(BCTaiSan_06027!#REF!,"'","\'"),"','TargetCode':''}")</f>
        <v>#REF!</v>
      </c>
    </row>
    <row r="79" spans="1:1" x14ac:dyDescent="0.2">
      <c r="A79" t="e">
        <f>CONCATENATE("{'SheetId':'0e67e680-b807-4d33-99c0-7b78881f5ae3'",",","'UId':'3e54e722-f72d-4af5-8c32-1442783e14cb'",",'Col':",COLUMN(BCTaiSan_06027!#REF!),",'Row':",ROW(BCTaiSan_06027!#REF!),",","'ColDynamic':",COLUMN(BCTaiSan_06027!#REF!),",","'RowDynamic':",ROW(BCTaiSan_06027!#REF!),",","'Format':'numberic'",",'Value':'",SUBSTITUTE(BCTaiSan_06027!#REF!,"'","\'"),"','TargetCode':''}")</f>
        <v>#REF!</v>
      </c>
    </row>
    <row r="80" spans="1:1" x14ac:dyDescent="0.2">
      <c r="A80" t="e">
        <f>CONCATENATE("{'SheetId':'0e67e680-b807-4d33-99c0-7b78881f5ae3'",",","'UId':'3f96d766-9a48-4f2e-9fbb-96483be5a37b'",",'Col':",COLUMN(BCTaiSan_06027!#REF!),",'Row':",ROW(BCTaiSan_06027!#REF!),",","'ColDynamic':",COLUMN(BCTaiSan_06027!#REF!),",","'RowDynamic':",ROW(BCTaiSan_06027!#REF!),",","'Format':'string'",",'Value':'",SUBSTITUTE(BCTaiSan_06027!#REF!,"'","\'"),"','TargetCode':''}")</f>
        <v>#REF!</v>
      </c>
    </row>
    <row r="81" spans="1:1" x14ac:dyDescent="0.2">
      <c r="A81" t="e">
        <f>CONCATENATE("{'SheetId':'0e67e680-b807-4d33-99c0-7b78881f5ae3'",",","'UId':'a6a52ad7-d9e3-4e8c-8379-6be9e58cd9c4'",",'Col':",COLUMN(BCTaiSan_06027!#REF!),",'Row':",ROW(BCTaiSan_06027!#REF!),",","'ColDynamic':",COLUMN(BCTaiSan_06027!#REF!),",","'RowDynamic':",ROW(BCTaiSan_06027!#REF!),",","'Format':'numberic'",",'Value':'",SUBSTITUTE(BCTaiSan_06027!#REF!,"'","\'"),"','TargetCode':''}")</f>
        <v>#REF!</v>
      </c>
    </row>
    <row r="82" spans="1:1" x14ac:dyDescent="0.2">
      <c r="A82" t="e">
        <f>CONCATENATE("{'SheetId':'0e67e680-b807-4d33-99c0-7b78881f5ae3'",",","'UId':'55d255b4-7d80-40f2-9833-cf8c6ce53f06'",",'Col':",COLUMN(BCTaiSan_06027!#REF!),",'Row':",ROW(BCTaiSan_06027!#REF!),",","'ColDynamic':",COLUMN(BCTaiSan_06027!#REF!),",","'RowDynamic':",ROW(BCTaiSan_06027!#REF!),",","'Format':'numberic'",",'Value':'",SUBSTITUTE(BCTaiSan_06027!#REF!,"'","\'"),"','TargetCode':''}")</f>
        <v>#REF!</v>
      </c>
    </row>
    <row r="83" spans="1:1" x14ac:dyDescent="0.2">
      <c r="A83" t="e">
        <f>CONCATENATE("{'SheetId':'0e67e680-b807-4d33-99c0-7b78881f5ae3'",",","'UId':'d5fb38c5-6523-43de-ac0b-ba97356659f4'",",'Col':",COLUMN(BCTaiSan_06027!#REF!),",'Row':",ROW(BCTaiSan_06027!#REF!),",","'ColDynamic':",COLUMN(BCTaiSan_06027!#REF!),",","'RowDynamic':",ROW(BCTaiSan_06027!#REF!),",","'Format':'numberic'",",'Value':'",SUBSTITUTE(BCTaiSan_06027!#REF!,"'","\'"),"','TargetCode':''}")</f>
        <v>#REF!</v>
      </c>
    </row>
    <row r="84" spans="1:1" x14ac:dyDescent="0.2">
      <c r="A84" t="e">
        <f>CONCATENATE("{'SheetId':'0e67e680-b807-4d33-99c0-7b78881f5ae3'",",","'UId':'94220f49-c77d-4bed-9bb1-05d3a31d7f99'",",'Col':",COLUMN(BCTaiSan_06027!#REF!),",'Row':",ROW(BCTaiSan_06027!#REF!),",","'ColDynamic':",COLUMN(BCTaiSan_06027!#REF!),",","'RowDynamic':",ROW(BCTaiSan_06027!#REF!),",","'Format':'numberic'",",'Value':'",SUBSTITUTE(BCTaiSan_06027!#REF!,"'","\'"),"','TargetCode':''}")</f>
        <v>#REF!</v>
      </c>
    </row>
    <row r="85" spans="1:1" x14ac:dyDescent="0.2">
      <c r="A85" t="e">
        <f>CONCATENATE("{'SheetId':'0e67e680-b807-4d33-99c0-7b78881f5ae3'",",","'UId':'9165401c-9eab-437b-81ae-d4feb80e4e2f'",",'Col':",COLUMN(BCTaiSan_06027!#REF!),",'Row':",ROW(BCTaiSan_06027!#REF!),",","'Format':'numberic'",",'Value':'",SUBSTITUTE(BCTaiSan_06027!#REF!,"'","\'"),"','TargetCode':''}")</f>
        <v>#REF!</v>
      </c>
    </row>
    <row r="86" spans="1:1" x14ac:dyDescent="0.2">
      <c r="A86" t="e">
        <f>CONCATENATE("{'SheetId':'0e67e680-b807-4d33-99c0-7b78881f5ae3'",",","'UId':'a439d206-4c67-47d4-afcd-d4f8e627acf1'",",'Col':",COLUMN(BCTaiSan_06027!#REF!),",'Row':",ROW(BCTaiSan_06027!#REF!),",","'Format':'numberic'",",'Value':'",SUBSTITUTE(BCTaiSan_06027!#REF!,"'","\'"),"','TargetCode':''}")</f>
        <v>#REF!</v>
      </c>
    </row>
    <row r="87" spans="1:1" x14ac:dyDescent="0.2">
      <c r="A87" t="e">
        <f>CONCATENATE("{'SheetId':'0e67e680-b807-4d33-99c0-7b78881f5ae3'",",","'UId':'8906c8be-ac8d-4de9-aebb-1de6b88d0a22'",",'Col':",COLUMN(BCTaiSan_06027!#REF!),",'Row':",ROW(BCTaiSan_06027!#REF!),",","'Format':'numberic'",",'Value':'",SUBSTITUTE(BCTaiSan_06027!#REF!,"'","\'"),"','TargetCode':''}")</f>
        <v>#REF!</v>
      </c>
    </row>
    <row r="88" spans="1:1" x14ac:dyDescent="0.2">
      <c r="A88" t="e">
        <f>CONCATENATE("{'SheetId':'0e67e680-b807-4d33-99c0-7b78881f5ae3'",",","'UId':'fcc35a7f-f6b8-4bb3-8ca7-ebe672f71784'",",'Col':",COLUMN(BCTaiSan_06027!#REF!),",'Row':",ROW(BCTaiSan_06027!#REF!),",","'Format':'numberic'",",'Value':'",SUBSTITUTE(BCTaiSan_06027!#REF!,"'","\'"),"','TargetCode':''}")</f>
        <v>#REF!</v>
      </c>
    </row>
    <row r="89" spans="1:1" x14ac:dyDescent="0.2">
      <c r="A89" t="e">
        <f>CONCATENATE("{'SheetId':'0e67e680-b807-4d33-99c0-7b78881f5ae3'",",","'UId':'a136b878-a09a-4ca8-9264-ae97a1f9fec3'",",'Col':",COLUMN(BCTaiSan_06027!#REF!),",'Row':",ROW(BCTaiSan_06027!#REF!),",","'Format':'numberic'",",'Value':'",SUBSTITUTE(BCTaiSan_06027!#REF!,"'","\'"),"','TargetCode':''}")</f>
        <v>#REF!</v>
      </c>
    </row>
    <row r="90" spans="1:1" x14ac:dyDescent="0.2">
      <c r="A90" t="e">
        <f>CONCATENATE("{'SheetId':'0e67e680-b807-4d33-99c0-7b78881f5ae3'",",","'UId':'a8356e2f-9957-4c65-86e7-8c58d3059caa'",",'Col':",COLUMN(BCTaiSan_06027!#REF!),",'Row':",ROW(BCTaiSan_06027!#REF!),",","'Format':'numberic'",",'Value':'",SUBSTITUTE(BCTaiSan_06027!#REF!,"'","\'"),"','TargetCode':''}")</f>
        <v>#REF!</v>
      </c>
    </row>
    <row r="91" spans="1:1" x14ac:dyDescent="0.2">
      <c r="A91" t="e">
        <f>CONCATENATE("{'SheetId':'0e67e680-b807-4d33-99c0-7b78881f5ae3'",",","'UId':'d658a5fe-69b7-43dd-b32e-4c1914beb25f'",",'Col':",COLUMN(BCTaiSan_06027!#REF!),",'Row':",ROW(BCTaiSan_06027!#REF!),",","'Format':'numberic'",",'Value':'",SUBSTITUTE(BCTaiSan_06027!#REF!,"'","\'"),"','TargetCode':''}")</f>
        <v>#REF!</v>
      </c>
    </row>
    <row r="92" spans="1:1" x14ac:dyDescent="0.2">
      <c r="A92" t="e">
        <f>CONCATENATE("{'SheetId':'0e67e680-b807-4d33-99c0-7b78881f5ae3'",",","'UId':'d06f90ca-bd66-421a-8cc3-6e3bfb681663'",",'Col':",COLUMN(BCTaiSan_06027!#REF!),",'Row':",ROW(BCTaiSan_06027!#REF!),",","'Format':'numberic'",",'Value':'",SUBSTITUTE(BCTaiSan_06027!#REF!,"'","\'"),"','TargetCode':''}")</f>
        <v>#REF!</v>
      </c>
    </row>
    <row r="93" spans="1:1" x14ac:dyDescent="0.2">
      <c r="A93" t="e">
        <f>CONCATENATE("{'SheetId':'0e67e680-b807-4d33-99c0-7b78881f5ae3'",",","'UId':'3afa0586-8350-4d11-b45e-528e4fb594a3'",",'Col':",COLUMN(BCTaiSan_06027!#REF!),",'Row':",ROW(BCTaiSan_06027!#REF!),",","'Format':'numberic'",",'Value':'",SUBSTITUTE(BCTaiSan_06027!#REF!,"'","\'"),"','TargetCode':''}")</f>
        <v>#REF!</v>
      </c>
    </row>
    <row r="94" spans="1:1" x14ac:dyDescent="0.2">
      <c r="A94" t="e">
        <f>CONCATENATE("{'SheetId':'0e67e680-b807-4d33-99c0-7b78881f5ae3'",",","'UId':'d548c3e3-1502-45fc-ac84-2e6ed3c0c2b0'",",'Col':",COLUMN(BCTaiSan_06027!#REF!),",'Row':",ROW(BCTaiSan_06027!#REF!),",","'ColDynamic':",COLUMN(BCTaiSan_06027!#REF!),",","'RowDynamic':",ROW(BCTaiSan_06027!#REF!),",","'Format':'string'",",'Value':'",SUBSTITUTE(BCTaiSan_06027!#REF!,"'","\'"),"','TargetCode':''}")</f>
        <v>#REF!</v>
      </c>
    </row>
    <row r="95" spans="1:1" x14ac:dyDescent="0.2">
      <c r="A95" t="e">
        <f>CONCATENATE("{'SheetId':'0e67e680-b807-4d33-99c0-7b78881f5ae3'",",","'UId':'a9ae3b70-e29b-4bf1-bbf5-5eb74c091677'",",'Col':",COLUMN(BCTaiSan_06027!#REF!),",'Row':",ROW(BCTaiSan_06027!#REF!),",","'ColDynamic':",COLUMN(BCTaiSan_06027!#REF!),",","'RowDynamic':",ROW(BCTaiSan_06027!#REF!),",","'Format':'string'",",'Value':'",SUBSTITUTE(BCTaiSan_06027!#REF!,"'","\'"),"','TargetCode':''}")</f>
        <v>#REF!</v>
      </c>
    </row>
    <row r="96" spans="1:1" x14ac:dyDescent="0.2">
      <c r="A96" t="e">
        <f>CONCATENATE("{'SheetId':'0e67e680-b807-4d33-99c0-7b78881f5ae3'",",","'UId':'097ee258-be00-4608-8dc1-f420aabf1dda'",",'Col':",COLUMN(BCTaiSan_06027!#REF!),",'Row':",ROW(BCTaiSan_06027!#REF!),",","'ColDynamic':",COLUMN(BCTaiSan_06027!#REF!),",","'RowDynamic':",ROW(BCTaiSan_06027!#REF!),",","'Format':'string'",",'Value':'",SUBSTITUTE(BCTaiSan_06027!#REF!,"'","\'"),"','TargetCode':''}")</f>
        <v>#REF!</v>
      </c>
    </row>
    <row r="97" spans="1:1" x14ac:dyDescent="0.2">
      <c r="A97" t="e">
        <f>CONCATENATE("{'SheetId':'0e67e680-b807-4d33-99c0-7b78881f5ae3'",",","'UId':'c0a5eee6-84a8-4294-82d8-68a2433fd220'",",'Col':",COLUMN(BCTaiSan_06027!#REF!),",'Row':",ROW(BCTaiSan_06027!#REF!),",","'ColDynamic':",COLUMN(BCTaiSan_06027!#REF!),",","'RowDynamic':",ROW(BCTaiSan_06027!#REF!),",","'Format':'numberic'",",'Value':'",SUBSTITUTE(BCTaiSan_06027!#REF!,"'","\'"),"','TargetCode':''}")</f>
        <v>#REF!</v>
      </c>
    </row>
    <row r="98" spans="1:1" x14ac:dyDescent="0.2">
      <c r="A98" t="e">
        <f>CONCATENATE("{'SheetId':'0e67e680-b807-4d33-99c0-7b78881f5ae3'",",","'UId':'a4ede6ba-ec49-4991-9f32-c8e9bcfe31d0'",",'Col':",COLUMN(BCTaiSan_06027!#REF!),",'Row':",ROW(BCTaiSan_06027!#REF!),",","'ColDynamic':",COLUMN(BCTaiSan_06027!#REF!),",","'RowDynamic':",ROW(BCTaiSan_06027!#REF!),",","'Format':'numberic'",",'Value':'",SUBSTITUTE(BCTaiSan_06027!#REF!,"'","\'"),"','TargetCode':''}")</f>
        <v>#REF!</v>
      </c>
    </row>
    <row r="99" spans="1:1" x14ac:dyDescent="0.2">
      <c r="A99" t="e">
        <f>CONCATENATE("{'SheetId':'0e67e680-b807-4d33-99c0-7b78881f5ae3'",",","'UId':'ebe7f90a-4c76-4d55-af2e-bf84fb789084'",",'Col':",COLUMN(BCTaiSan_06027!#REF!),",'Row':",ROW(BCTaiSan_06027!#REF!),",","'ColDynamic':",COLUMN(BCTaiSan_06027!#REF!),",","'RowDynamic':",ROW(BCTaiSan_06027!#REF!),",","'Format':'numberic'",",'Value':'",SUBSTITUTE(BCTaiSan_06027!#REF!,"'","\'"),"','TargetCode':''}")</f>
        <v>#REF!</v>
      </c>
    </row>
    <row r="100" spans="1:1" x14ac:dyDescent="0.2">
      <c r="A100" t="e">
        <f>CONCATENATE("{'SheetId':'0e67e680-b807-4d33-99c0-7b78881f5ae3'",",","'UId':'58e21377-a719-4e89-80fb-23a88c96320b'",",'Col':",COLUMN(BCTaiSan_06027!#REF!),",'Row':",ROW(BCTaiSan_06027!#REF!),",","'ColDynamic':",COLUMN(BCTaiSan_06027!#REF!),",","'RowDynamic':",ROW(BCTaiSan_06027!#REF!),",","'Format':'numberic'",",'Value':'",SUBSTITUTE(BCTaiSan_06027!#REF!,"'","\'"),"','TargetCode':''}")</f>
        <v>#REF!</v>
      </c>
    </row>
    <row r="101" spans="1:1" x14ac:dyDescent="0.2">
      <c r="A101" t="e">
        <f>CONCATENATE("{'SheetId':'0e67e680-b807-4d33-99c0-7b78881f5ae3'",",","'UId':'057ab56e-3793-4727-b4fd-1da089f66590'",",'Col':",COLUMN(BCTaiSan_06027!#REF!),",'Row':",ROW(BCTaiSan_06027!#REF!),",","'ColDynamic':",COLUMN(BCTaiSan_06027!#REF!),",","'RowDynamic':",ROW(BCTaiSan_06027!#REF!),",","'Format':'string'",",'Value':'",SUBSTITUTE(BCTaiSan_06027!#REF!,"'","\'"),"','TargetCode':''}")</f>
        <v>#REF!</v>
      </c>
    </row>
    <row r="102" spans="1:1" x14ac:dyDescent="0.2">
      <c r="A102" t="e">
        <f>CONCATENATE("{'SheetId':'0e67e680-b807-4d33-99c0-7b78881f5ae3'",",","'UId':'eb909b8e-e707-4882-a3a2-de732a92a8c7'",",'Col':",COLUMN(BCTaiSan_06027!#REF!),",'Row':",ROW(BCTaiSan_06027!#REF!),",","'ColDynamic':",COLUMN(BCTaiSan_06027!#REF!),",","'RowDynamic':",ROW(BCTaiSan_06027!#REF!),",","'Format':'numberic'",",'Value':'",SUBSTITUTE(BCTaiSan_06027!#REF!,"'","\'"),"','TargetCode':''}")</f>
        <v>#REF!</v>
      </c>
    </row>
    <row r="103" spans="1:1" x14ac:dyDescent="0.2">
      <c r="A103" t="e">
        <f>CONCATENATE("{'SheetId':'0e67e680-b807-4d33-99c0-7b78881f5ae3'",",","'UId':'ba96be21-e7d2-468c-94f7-69e2d9c3def9'",",'Col':",COLUMN(BCTaiSan_06027!#REF!),",'Row':",ROW(BCTaiSan_06027!#REF!),",","'ColDynamic':",COLUMN(BCTaiSan_06027!#REF!),",","'RowDynamic':",ROW(BCTaiSan_06027!#REF!),",","'Format':'numberic'",",'Value':'",SUBSTITUTE(BCTaiSan_06027!#REF!,"'","\'"),"','TargetCode':''}")</f>
        <v>#REF!</v>
      </c>
    </row>
    <row r="104" spans="1:1" x14ac:dyDescent="0.2">
      <c r="A104" t="e">
        <f>CONCATENATE("{'SheetId':'0e67e680-b807-4d33-99c0-7b78881f5ae3'",",","'UId':'4b13ebd4-ed25-4cf3-9c4a-60a73dc646a9'",",'Col':",COLUMN(BCTaiSan_06027!#REF!),",'Row':",ROW(BCTaiSan_06027!#REF!),",","'ColDynamic':",COLUMN(BCTaiSan_06027!#REF!),",","'RowDynamic':",ROW(BCTaiSan_06027!#REF!),",","'Format':'numberic'",",'Value':'",SUBSTITUTE(BCTaiSan_06027!#REF!,"'","\'"),"','TargetCode':''}")</f>
        <v>#REF!</v>
      </c>
    </row>
    <row r="105" spans="1:1" x14ac:dyDescent="0.2">
      <c r="A105" t="e">
        <f>CONCATENATE("{'SheetId':'0e67e680-b807-4d33-99c0-7b78881f5ae3'",",","'UId':'8b67476d-68af-436e-87a4-0029abbf73d8'",",'Col':",COLUMN(BCTaiSan_06027!#REF!),",'Row':",ROW(BCTaiSan_06027!#REF!),",","'ColDynamic':",COLUMN(BCTaiSan_06027!#REF!),",","'RowDynamic':",ROW(BCTaiSan_06027!#REF!),",","'Format':'numberic'",",'Value':'",SUBSTITUTE(BCTaiSan_06027!#REF!,"'","\'"),"','TargetCode':''}")</f>
        <v>#REF!</v>
      </c>
    </row>
    <row r="106" spans="1:1" x14ac:dyDescent="0.2">
      <c r="A106" t="e">
        <f>CONCATENATE("{'SheetId':'0e67e680-b807-4d33-99c0-7b78881f5ae3'",",","'UId':'6823b56c-6355-4646-a028-45bac846780f'",",'Col':",COLUMN(BCTaiSan_06027!#REF!),",'Row':",ROW(BCTaiSan_06027!#REF!),",","'Format':'numberic'",",'Value':'",SUBSTITUTE(BCTaiSan_06027!#REF!,"'","\'"),"','TargetCode':''}")</f>
        <v>#REF!</v>
      </c>
    </row>
    <row r="107" spans="1:1" x14ac:dyDescent="0.2">
      <c r="A107" t="e">
        <f>CONCATENATE("{'SheetId':'0e67e680-b807-4d33-99c0-7b78881f5ae3'",",","'UId':'3318279c-387a-4099-bb92-e31c1fe449fe'",",'Col':",COLUMN(BCTaiSan_06027!#REF!),",'Row':",ROW(BCTaiSan_06027!#REF!),",","'Format':'numberic'",",'Value':'",SUBSTITUTE(BCTaiSan_06027!#REF!,"'","\'"),"','TargetCode':''}")</f>
        <v>#REF!</v>
      </c>
    </row>
    <row r="108" spans="1:1" x14ac:dyDescent="0.2">
      <c r="A108" t="e">
        <f>CONCATENATE("{'SheetId':'0e67e680-b807-4d33-99c0-7b78881f5ae3'",",","'UId':'4e4bdcf0-80c6-4aab-a280-ce14045479a2'",",'Col':",COLUMN(BCTaiSan_06027!#REF!),",'Row':",ROW(BCTaiSan_06027!#REF!),",","'Format':'numberic'",",'Value':'",SUBSTITUTE(BCTaiSan_06027!#REF!,"'","\'"),"','TargetCode':''}")</f>
        <v>#REF!</v>
      </c>
    </row>
    <row r="109" spans="1:1" x14ac:dyDescent="0.2">
      <c r="A109" t="e">
        <f>CONCATENATE("{'SheetId':'0e67e680-b807-4d33-99c0-7b78881f5ae3'",",","'UId':'86156d9a-5419-49e8-80ee-8b1613fb9536'",",'Col':",COLUMN(BCTaiSan_06027!#REF!),",'Row':",ROW(BCTaiSan_06027!#REF!),",","'ColDynamic':",COLUMN(BCTaiSan_06027!#REF!),",","'RowDynamic':",ROW(BCTaiSan_06027!#REF!),",","'Format':'numberic'",",'Value':'",SUBSTITUTE(BCTaiSan_06027!#REF!,"'","\'"),"','TargetCode':''}")</f>
        <v>#REF!</v>
      </c>
    </row>
    <row r="110" spans="1:1" x14ac:dyDescent="0.2">
      <c r="A110" t="e">
        <f>CONCATENATE("{'SheetId':'0e67e680-b807-4d33-99c0-7b78881f5ae3'",",","'UId':'c8455213-9e22-4e00-855c-d23497aa3ad3'",",'Col':",COLUMN(BCTaiSan_06027!#REF!),",'Row':",ROW(BCTaiSan_06027!#REF!),",","'ColDynamic':",COLUMN(BCTaiSan_06027!#REF!),",","'RowDynamic':",ROW(BCTaiSan_06027!#REF!),",","'Format':'string'",",'Value':'",SUBSTITUTE(BCTaiSan_06027!#REF!,"'","\'"),"','TargetCode':''}")</f>
        <v>#REF!</v>
      </c>
    </row>
    <row r="111" spans="1:1" x14ac:dyDescent="0.2">
      <c r="A111" t="e">
        <f>CONCATENATE("{'SheetId':'0e67e680-b807-4d33-99c0-7b78881f5ae3'",",","'UId':'d9e7d136-a533-46c2-b197-f22c0d7194d4'",",'Col':",COLUMN(BCTaiSan_06027!#REF!),",'Row':",ROW(BCTaiSan_06027!#REF!),",","'ColDynamic':",COLUMN(BCTaiSan_06027!#REF!),",","'RowDynamic':",ROW(BCTaiSan_06027!#REF!),",","'Format':'numberic'",",'Value':'",SUBSTITUTE(BCTaiSan_06027!#REF!,"'","\'"),"','TargetCode':''}")</f>
        <v>#REF!</v>
      </c>
    </row>
    <row r="112" spans="1:1" x14ac:dyDescent="0.2">
      <c r="A112" t="e">
        <f>CONCATENATE("{'SheetId':'0e67e680-b807-4d33-99c0-7b78881f5ae3'",",","'UId':'8d4f19d9-f5c2-4bf7-96e9-f9107e17baec'",",'Col':",COLUMN(BCTaiSan_06027!#REF!),",'Row':",ROW(BCTaiSan_06027!#REF!),",","'ColDynamic':",COLUMN(BCTaiSan_06027!#REF!),",","'RowDynamic':",ROW(BCTaiSan_06027!#REF!),",","'Format':'numberic'",",'Value':'",SUBSTITUTE(BCTaiSan_06027!#REF!,"'","\'"),"','TargetCode':''}")</f>
        <v>#REF!</v>
      </c>
    </row>
    <row r="113" spans="1:1" x14ac:dyDescent="0.2">
      <c r="A113" t="e">
        <f>CONCATENATE("{'SheetId':'0e67e680-b807-4d33-99c0-7b78881f5ae3'",",","'UId':'599e1d93-b92c-4a4c-b0ed-6b23cc561218'",",'Col':",COLUMN(BCTaiSan_06027!#REF!),",'Row':",ROW(BCTaiSan_06027!#REF!),",","'ColDynamic':",COLUMN(BCTaiSan_06027!#REF!),",","'RowDynamic':",ROW(BCTaiSan_06027!#REF!),",","'Format':'numberic'",",'Value':'",SUBSTITUTE(BCTaiSan_06027!#REF!,"'","\'"),"','TargetCode':''}")</f>
        <v>#REF!</v>
      </c>
    </row>
    <row r="114" spans="1:1" x14ac:dyDescent="0.2">
      <c r="A114" t="e">
        <f>CONCATENATE("{'SheetId':'0e67e680-b807-4d33-99c0-7b78881f5ae3'",",","'UId':'147436ab-04be-44a5-bbed-cb05e3abc871'",",'Col':",COLUMN(BCTaiSan_06027!#REF!),",'Row':",ROW(BCTaiSan_06027!#REF!),",","'ColDynamic':",COLUMN(BCTaiSan_06027!#REF!),",","'RowDynamic':",ROW(BCTaiSan_06027!#REF!),",","'Format':'numberic'",",'Value':'",SUBSTITUTE(BCTaiSan_06027!#REF!,"'","\'"),"','TargetCode':''}")</f>
        <v>#REF!</v>
      </c>
    </row>
    <row r="115" spans="1:1" x14ac:dyDescent="0.2">
      <c r="A115" t="e">
        <f>CONCATENATE("{'SheetId':'0e67e680-b807-4d33-99c0-7b78881f5ae3'",",","'UId':'3c70b8a9-b1ec-43c2-876f-82404e71a395'",",'Col':",COLUMN(BCTaiSan_06027!#REF!),",'Row':",ROW(BCTaiSan_06027!#REF!),",","'Format':'numberic'",",'Value':'",SUBSTITUTE(BCTaiSan_06027!#REF!,"'","\'"),"','TargetCode':''}")</f>
        <v>#REF!</v>
      </c>
    </row>
    <row r="116" spans="1:1" x14ac:dyDescent="0.2">
      <c r="A116" t="e">
        <f>CONCATENATE("{'SheetId':'0e67e680-b807-4d33-99c0-7b78881f5ae3'",",","'UId':'12d35449-1610-445d-a82a-ca6aa3c24666'",",'Col':",COLUMN(BCTaiSan_06027!#REF!),",'Row':",ROW(BCTaiSan_06027!#REF!),",","'Format':'numberic'",",'Value':'",SUBSTITUTE(BCTaiSan_06027!#REF!,"'","\'"),"','TargetCode':''}")</f>
        <v>#REF!</v>
      </c>
    </row>
    <row r="117" spans="1:1" x14ac:dyDescent="0.2">
      <c r="A117" t="e">
        <f>CONCATENATE("{'SheetId':'0e67e680-b807-4d33-99c0-7b78881f5ae3'",",","'UId':'12315a60-eed3-4b10-a10c-2f67a18ee638'",",'Col':",COLUMN(BCTaiSan_06027!#REF!),",'Row':",ROW(BCTaiSan_06027!#REF!),",","'Format':'numberic'",",'Value':'",SUBSTITUTE(BCTaiSan_06027!#REF!,"'","\'"),"','TargetCode':''}")</f>
        <v>#REF!</v>
      </c>
    </row>
    <row r="118" spans="1:1" x14ac:dyDescent="0.2">
      <c r="A118" t="e">
        <f>CONCATENATE("{'SheetId':'0e67e680-b807-4d33-99c0-7b78881f5ae3'",",","'UId':'47fa62ea-4432-4646-9d4f-ee5aab71af85'",",'Col':",COLUMN(BCTaiSan_06027!#REF!),",'Row':",ROW(BCTaiSan_06027!#REF!),",","'Format':'numberic'",",'Value':'",SUBSTITUTE(BCTaiSan_06027!#REF!,"'","\'"),"','TargetCode':''}")</f>
        <v>#REF!</v>
      </c>
    </row>
    <row r="119" spans="1:1" x14ac:dyDescent="0.2">
      <c r="A119" t="e">
        <f>CONCATENATE("{'SheetId':'0e67e680-b807-4d33-99c0-7b78881f5ae3'",",","'UId':'3afb4556-da28-46fc-a2b2-36ba72752042'",",'Col':",COLUMN(BCTaiSan_06027!#REF!),",'Row':",ROW(BCTaiSan_06027!#REF!),",","'Format':'numberic'",",'Value':'",SUBSTITUTE(BCTaiSan_06027!#REF!,"'","\'"),"','TargetCode':''}")</f>
        <v>#REF!</v>
      </c>
    </row>
    <row r="120" spans="1:1" x14ac:dyDescent="0.2">
      <c r="A120" t="e">
        <f>CONCATENATE("{'SheetId':'0e67e680-b807-4d33-99c0-7b78881f5ae3'",",","'UId':'76b3aaa6-980e-4c01-b289-c500e2a6bc24'",",'Col':",COLUMN(BCTaiSan_06027!#REF!),",'Row':",ROW(BCTaiSan_06027!#REF!),",","'Format':'numberic'",",'Value':'",SUBSTITUTE(BCTaiSan_06027!#REF!,"'","\'"),"','TargetCode':''}")</f>
        <v>#REF!</v>
      </c>
    </row>
    <row r="121" spans="1:1" x14ac:dyDescent="0.2">
      <c r="A121" t="e">
        <f>CONCATENATE("{'SheetId':'0e67e680-b807-4d33-99c0-7b78881f5ae3'",",","'UId':'7104513d-d6f9-4449-8a07-2e2ffcb96545'",",'Col':",COLUMN(BCTaiSan_06027!#REF!),",'Row':",ROW(BCTaiSan_06027!#REF!),",","'Format':'numberic'",",'Value':'",SUBSTITUTE(BCTaiSan_06027!#REF!,"'","\'"),"','TargetCode':''}")</f>
        <v>#REF!</v>
      </c>
    </row>
    <row r="122" spans="1:1" x14ac:dyDescent="0.2">
      <c r="A122" t="e">
        <f>CONCATENATE("{'SheetId':'0e67e680-b807-4d33-99c0-7b78881f5ae3'",",","'UId':'3e6dbc06-a87f-42e5-8f05-e55e94914d01'",",'Col':",COLUMN(BCTaiSan_06027!#REF!),",'Row':",ROW(BCTaiSan_06027!#REF!),",","'Format':'numberic'",",'Value':'",SUBSTITUTE(BCTaiSan_06027!#REF!,"'","\'"),"','TargetCode':''}")</f>
        <v>#REF!</v>
      </c>
    </row>
    <row r="123" spans="1:1" x14ac:dyDescent="0.2">
      <c r="A123" t="e">
        <f>CONCATENATE("{'SheetId':'0e67e680-b807-4d33-99c0-7b78881f5ae3'",",","'UId':'f428fa58-01e3-47d4-8c5d-1c46168be529'",",'Col':",COLUMN(BCTaiSan_06027!#REF!),",'Row':",ROW(BCTaiSan_06027!#REF!),",","'Format':'numberic'",",'Value':'",SUBSTITUTE(BCTaiSan_06027!#REF!,"'","\'"),"','TargetCode':''}")</f>
        <v>#REF!</v>
      </c>
    </row>
    <row r="124" spans="1:1" x14ac:dyDescent="0.2">
      <c r="A124" t="e">
        <f>CONCATENATE("{'SheetId':'0e67e680-b807-4d33-99c0-7b78881f5ae3'",",","'UId':'4e4f6161-da0f-463f-8dd1-39772b1d4eda'",",'Col':",COLUMN(BCTaiSan_06027!#REF!),",'Row':",ROW(BCTaiSan_06027!#REF!),",","'Format':'numberic'",",'Value':'",SUBSTITUTE(BCTaiSan_06027!#REF!,"'","\'"),"','TargetCode':''}")</f>
        <v>#REF!</v>
      </c>
    </row>
    <row r="125" spans="1:1" x14ac:dyDescent="0.2">
      <c r="A125" t="e">
        <f>CONCATENATE("{'SheetId':'0e67e680-b807-4d33-99c0-7b78881f5ae3'",",","'UId':'4a847a8c-942e-443a-8eae-7a36b88630ea'",",'Col':",COLUMN(BCTaiSan_06027!#REF!),",'Row':",ROW(BCTaiSan_06027!#REF!),",","'Format':'numberic'",",'Value':'",SUBSTITUTE(BCTaiSan_06027!#REF!,"'","\'"),"','TargetCode':''}")</f>
        <v>#REF!</v>
      </c>
    </row>
    <row r="126" spans="1:1" x14ac:dyDescent="0.2">
      <c r="A126" t="e">
        <f>CONCATENATE("{'SheetId':'0e67e680-b807-4d33-99c0-7b78881f5ae3'",",","'UId':'b1a27640-3dfd-4efe-90b1-884e8ae97752'",",'Col':",COLUMN(BCTaiSan_06027!#REF!),",'Row':",ROW(BCTaiSan_06027!#REF!),",","'Format':'numberic'",",'Value':'",SUBSTITUTE(BCTaiSan_06027!#REF!,"'","\'"),"','TargetCode':''}")</f>
        <v>#REF!</v>
      </c>
    </row>
    <row r="127" spans="1:1" x14ac:dyDescent="0.2">
      <c r="A127" t="e">
        <f>CONCATENATE("{'SheetId':'9e57442d-faa2-4732-bfe8-6082c7f4cc3b'",",","'UId':'1ab6082b-49bd-46b5-a368-d8740fb12834'",",'Col':",COLUMN(BCKetQuaHoatDong_06028!#REF!),",'Row':",ROW(BCKetQuaHoatDong_06028!#REF!),",","'Format':'numberic'",",'Value':'",SUBSTITUTE(BCKetQuaHoatDong_06028!#REF!,"'","\'"),"','TargetCode':''}")</f>
        <v>#REF!</v>
      </c>
    </row>
    <row r="128" spans="1:1" x14ac:dyDescent="0.2">
      <c r="A128" t="e">
        <f>CONCATENATE("{'SheetId':'9e57442d-faa2-4732-bfe8-6082c7f4cc3b'",",","'UId':'220cbdc8-4631-4f07-a522-f901ab9a56b6'",",'Col':",COLUMN(BCKetQuaHoatDong_06028!#REF!),",'Row':",ROW(BCKetQuaHoatDong_06028!#REF!),",","'Format':'numberic'",",'Value':'",SUBSTITUTE(BCKetQuaHoatDong_06028!#REF!,"'","\'"),"','TargetCode':''}")</f>
        <v>#REF!</v>
      </c>
    </row>
    <row r="129" spans="1:1" x14ac:dyDescent="0.2">
      <c r="A129" t="e">
        <f>CONCATENATE("{'SheetId':'9e57442d-faa2-4732-bfe8-6082c7f4cc3b'",",","'UId':'44591e3f-5579-49aa-bc70-68808b3d1875'",",'Col':",COLUMN(BCKetQuaHoatDong_06028!#REF!),",'Row':",ROW(BCKetQuaHoatDong_06028!#REF!),",","'Format':'numberic'",",'Value':'",SUBSTITUTE(BCKetQuaHoatDong_06028!#REF!,"'","\'"),"','TargetCode':''}")</f>
        <v>#REF!</v>
      </c>
    </row>
    <row r="130" spans="1:1" x14ac:dyDescent="0.2">
      <c r="A130" t="e">
        <f>CONCATENATE("{'SheetId':'9e57442d-faa2-4732-bfe8-6082c7f4cc3b'",",","'UId':'42e37ca4-1df6-47d1-88e7-e3a38998d78b'",",'Col':",COLUMN(BCKetQuaHoatDong_06028!#REF!),",'Row':",ROW(BCKetQuaHoatDong_06028!#REF!),",","'Format':'numberic'",",'Value':'",SUBSTITUTE(BCKetQuaHoatDong_06028!#REF!,"'","\'"),"','TargetCode':''}")</f>
        <v>#REF!</v>
      </c>
    </row>
    <row r="131" spans="1:1" x14ac:dyDescent="0.2">
      <c r="A131" t="e">
        <f>CONCATENATE("{'SheetId':'9e57442d-faa2-4732-bfe8-6082c7f4cc3b'",",","'UId':'934cb8b7-8786-4516-bd81-6283f7ac90a6'",",'Col':",COLUMN(BCKetQuaHoatDong_06028!#REF!),",'Row':",ROW(BCKetQuaHoatDong_06028!#REF!),",","'Format':'numberic'",",'Value':'",SUBSTITUTE(BCKetQuaHoatDong_06028!#REF!,"'","\'"),"','TargetCode':''}")</f>
        <v>#REF!</v>
      </c>
    </row>
    <row r="132" spans="1:1" x14ac:dyDescent="0.2">
      <c r="A132" t="e">
        <f>CONCATENATE("{'SheetId':'9e57442d-faa2-4732-bfe8-6082c7f4cc3b'",",","'UId':'79227db8-fd6c-4df2-a545-8ec140e79005'",",'Col':",COLUMN(BCKetQuaHoatDong_06028!#REF!),",'Row':",ROW(BCKetQuaHoatDong_06028!#REF!),",","'Format':'numberic'",",'Value':'",SUBSTITUTE(BCKetQuaHoatDong_06028!#REF!,"'","\'"),"','TargetCode':''}")</f>
        <v>#REF!</v>
      </c>
    </row>
    <row r="133" spans="1:1" x14ac:dyDescent="0.2">
      <c r="A133" t="e">
        <f>CONCATENATE("{'SheetId':'9e57442d-faa2-4732-bfe8-6082c7f4cc3b'",",","'UId':'dcf0db79-ee60-4344-b0b0-587e1a911a5b'",",'Col':",COLUMN(BCKetQuaHoatDong_06028!#REF!),",'Row':",ROW(BCKetQuaHoatDong_06028!#REF!),",","'ColDynamic':",COLUMN(BCKetQuaHoatDong_06028!#REF!),",","'RowDynamic':",ROW(BCKetQuaHoatDong_06028!#REF!),",","'Format':'string'",",'Value':'",SUBSTITUTE(BCKetQuaHoatDong_06028!#REF!,"'","\'"),"','TargetCode':''}")</f>
        <v>#REF!</v>
      </c>
    </row>
    <row r="134" spans="1:1" x14ac:dyDescent="0.2">
      <c r="A134" t="e">
        <f>CONCATENATE("{'SheetId':'9e57442d-faa2-4732-bfe8-6082c7f4cc3b'",",","'UId':'f3295d7c-fd13-4bb1-b281-7ddf558d03c6'",",'Col':",COLUMN(BCKetQuaHoatDong_06028!#REF!),",'Row':",ROW(BCKetQuaHoatDong_06028!#REF!),",","'ColDynamic':",COLUMN(BCKetQuaHoatDong_06028!#REF!),",","'RowDynamic':",ROW(BCKetQuaHoatDong_06028!#REF!),",","'Format':'string'",",'Value':'",SUBSTITUTE(BCKetQuaHoatDong_06028!#REF!,"'","\'"),"','TargetCode':''}")</f>
        <v>#REF!</v>
      </c>
    </row>
    <row r="135" spans="1:1" x14ac:dyDescent="0.2">
      <c r="A135" t="e">
        <f>CONCATENATE("{'SheetId':'9e57442d-faa2-4732-bfe8-6082c7f4cc3b'",",","'UId':'1bac6209-3924-49be-aa16-48d3b6255b76'",",'Col':",COLUMN(BCKetQuaHoatDong_06028!#REF!),",'Row':",ROW(BCKetQuaHoatDong_06028!#REF!),",","'ColDynamic':",COLUMN(BCKetQuaHoatDong_06028!#REF!),",","'RowDynamic':",ROW(BCKetQuaHoatDong_06028!#REF!),",","'Format':'string'",",'Value':'",SUBSTITUTE(BCKetQuaHoatDong_06028!#REF!,"'","\'"),"','TargetCode':''}")</f>
        <v>#REF!</v>
      </c>
    </row>
    <row r="136" spans="1:1" x14ac:dyDescent="0.2">
      <c r="A136" t="e">
        <f>CONCATENATE("{'SheetId':'9e57442d-faa2-4732-bfe8-6082c7f4cc3b'",",","'UId':'469f6a2b-25ef-4e27-93c5-0caee9db4d81'",",'Col':",COLUMN(BCKetQuaHoatDong_06028!#REF!),",'Row':",ROW(BCKetQuaHoatDong_06028!#REF!),",","'ColDynamic':",COLUMN(BCKetQuaHoatDong_06028!#REF!),",","'RowDynamic':",ROW(BCKetQuaHoatDong_06028!#REF!),",","'Format':'numberic'",",'Value':'",SUBSTITUTE(BCKetQuaHoatDong_06028!#REF!,"'","\'"),"','TargetCode':''}")</f>
        <v>#REF!</v>
      </c>
    </row>
    <row r="137" spans="1:1" x14ac:dyDescent="0.2">
      <c r="A137" t="e">
        <f>CONCATENATE("{'SheetId':'9e57442d-faa2-4732-bfe8-6082c7f4cc3b'",",","'UId':'7b8d3f89-6827-40c2-b297-cf7a42237b42'",",'Col':",COLUMN(BCKetQuaHoatDong_06028!#REF!),",'Row':",ROW(BCKetQuaHoatDong_06028!#REF!),",","'ColDynamic':",COLUMN(BCKetQuaHoatDong_06028!#REF!),",","'RowDynamic':",ROW(BCKetQuaHoatDong_06028!#REF!),",","'Format':'numberic'",",'Value':'",SUBSTITUTE(BCKetQuaHoatDong_06028!#REF!,"'","\'"),"','TargetCode':''}")</f>
        <v>#REF!</v>
      </c>
    </row>
    <row r="138" spans="1:1" x14ac:dyDescent="0.2">
      <c r="A138" t="e">
        <f>CONCATENATE("{'SheetId':'9e57442d-faa2-4732-bfe8-6082c7f4cc3b'",",","'UId':'4ae5c9f2-f277-4de6-a00c-b59eae1b7410'",",'Col':",COLUMN(BCKetQuaHoatDong_06028!#REF!),",'Row':",ROW(BCKetQuaHoatDong_06028!#REF!),",","'ColDynamic':",COLUMN(BCKetQuaHoatDong_06028!#REF!),",","'RowDynamic':",ROW(BCKetQuaHoatDong_06028!#REF!),",","'Format':'numberic'",",'Value':'",SUBSTITUTE(BCKetQuaHoatDong_06028!#REF!,"'","\'"),"','TargetCode':''}")</f>
        <v>#REF!</v>
      </c>
    </row>
    <row r="139" spans="1:1" x14ac:dyDescent="0.2">
      <c r="A139" t="e">
        <f>CONCATENATE("{'SheetId':'9e57442d-faa2-4732-bfe8-6082c7f4cc3b'",",","'UId':'33398b0e-fa8f-4276-9132-ee68f9189fbb'",",'Col':",COLUMN(BCKetQuaHoatDong_06028!#REF!),",'Row':",ROW(BCKetQuaHoatDong_06028!#REF!),",","'ColDynamic':",COLUMN(BCKetQuaHoatDong_06028!#REF!),",","'RowDynamic':",ROW(BCKetQuaHoatDong_06028!#REF!),",","'Format':'string'",",'Value':'",SUBSTITUTE(BCKetQuaHoatDong_06028!#REF!,"'","\'"),"','TargetCode':''}")</f>
        <v>#REF!</v>
      </c>
    </row>
    <row r="140" spans="1:1" x14ac:dyDescent="0.2">
      <c r="A140" t="e">
        <f>CONCATENATE("{'SheetId':'9e57442d-faa2-4732-bfe8-6082c7f4cc3b'",",","'UId':'86892206-126b-425e-8657-a74c6e9e718f'",",'Col':",COLUMN(BCKetQuaHoatDong_06028!#REF!),",'Row':",ROW(BCKetQuaHoatDong_06028!#REF!),",","'ColDynamic':",COLUMN(BCKetQuaHoatDong_06028!#REF!),",","'RowDynamic':",ROW(BCKetQuaHoatDong_06028!#REF!),",","'Format':'string'",",'Value':'",SUBSTITUTE(BCKetQuaHoatDong_06028!#REF!,"'","\'"),"','TargetCode':''}")</f>
        <v>#REF!</v>
      </c>
    </row>
    <row r="141" spans="1:1" x14ac:dyDescent="0.2">
      <c r="A141" t="e">
        <f>CONCATENATE("{'SheetId':'9e57442d-faa2-4732-bfe8-6082c7f4cc3b'",",","'UId':'904c8898-31a2-496b-b4f2-6f526e675dc9'",",'Col':",COLUMN(BCKetQuaHoatDong_06028!#REF!),",'Row':",ROW(BCKetQuaHoatDong_06028!#REF!),",","'ColDynamic':",COLUMN(BCKetQuaHoatDong_06028!#REF!),",","'RowDynamic':",ROW(BCKetQuaHoatDong_06028!#REF!),",","'Format':'string'",",'Value':'",SUBSTITUTE(BCKetQuaHoatDong_06028!#REF!,"'","\'"),"','TargetCode':''}")</f>
        <v>#REF!</v>
      </c>
    </row>
    <row r="142" spans="1:1" x14ac:dyDescent="0.2">
      <c r="A142" t="e">
        <f>CONCATENATE("{'SheetId':'9e57442d-faa2-4732-bfe8-6082c7f4cc3b'",",","'UId':'5cf117a3-96d2-4aaf-916d-02b16ba83420'",",'Col':",COLUMN(BCKetQuaHoatDong_06028!#REF!),",'Row':",ROW(BCKetQuaHoatDong_06028!#REF!),",","'ColDynamic':",COLUMN(BCKetQuaHoatDong_06028!#REF!),",","'RowDynamic':",ROW(BCKetQuaHoatDong_06028!#REF!),",","'Format':'numberic'",",'Value':'",SUBSTITUTE(BCKetQuaHoatDong_06028!#REF!,"'","\'"),"','TargetCode':''}")</f>
        <v>#REF!</v>
      </c>
    </row>
    <row r="143" spans="1:1" x14ac:dyDescent="0.2">
      <c r="A143" t="e">
        <f>CONCATENATE("{'SheetId':'9e57442d-faa2-4732-bfe8-6082c7f4cc3b'",",","'UId':'89c23fea-c054-41d5-9d1e-0958d45c7a95'",",'Col':",COLUMN(BCKetQuaHoatDong_06028!#REF!),",'Row':",ROW(BCKetQuaHoatDong_06028!#REF!),",","'ColDynamic':",COLUMN(BCKetQuaHoatDong_06028!#REF!),",","'RowDynamic':",ROW(BCKetQuaHoatDong_06028!#REF!),",","'Format':'numberic'",",'Value':'",SUBSTITUTE(BCKetQuaHoatDong_06028!#REF!,"'","\'"),"','TargetCode':''}")</f>
        <v>#REF!</v>
      </c>
    </row>
    <row r="144" spans="1:1" x14ac:dyDescent="0.2">
      <c r="A144" t="e">
        <f>CONCATENATE("{'SheetId':'9e57442d-faa2-4732-bfe8-6082c7f4cc3b'",",","'UId':'d5829e20-95a8-4535-904c-7e09f2cdc9f2'",",'Col':",COLUMN(BCKetQuaHoatDong_06028!#REF!),",'Row':",ROW(BCKetQuaHoatDong_06028!#REF!),",","'ColDynamic':",COLUMN(BCKetQuaHoatDong_06028!#REF!),",","'RowDynamic':",ROW(BCKetQuaHoatDong_06028!#REF!),",","'Format':'numberic'",",'Value':'",SUBSTITUTE(BCKetQuaHoatDong_06028!#REF!,"'","\'"),"','TargetCode':''}")</f>
        <v>#REF!</v>
      </c>
    </row>
    <row r="145" spans="1:1" x14ac:dyDescent="0.2">
      <c r="A145" t="e">
        <f>CONCATENATE("{'SheetId':'9e57442d-faa2-4732-bfe8-6082c7f4cc3b'",",","'UId':'b5848dfe-5cbf-47b7-aa30-afa203edc318'",",'Col':",COLUMN(BCKetQuaHoatDong_06028!#REF!),",'Row':",ROW(BCKetQuaHoatDong_06028!#REF!),",","'ColDynamic':",COLUMN(BCKetQuaHoatDong_06028!#REF!),",","'RowDynamic':",ROW(BCKetQuaHoatDong_06028!#REF!),",","'Format':'string'",",'Value':'",SUBSTITUTE(BCKetQuaHoatDong_06028!#REF!,"'","\'"),"','TargetCode':''}")</f>
        <v>#REF!</v>
      </c>
    </row>
    <row r="146" spans="1:1" x14ac:dyDescent="0.2">
      <c r="A146" t="e">
        <f>CONCATENATE("{'SheetId':'9e57442d-faa2-4732-bfe8-6082c7f4cc3b'",",","'UId':'6b73200d-b9d1-4dac-9fae-a612e3c3babe'",",'Col':",COLUMN(BCKetQuaHoatDong_06028!#REF!),",'Row':",ROW(BCKetQuaHoatDong_06028!#REF!),",","'ColDynamic':",COLUMN(BCKetQuaHoatDong_06028!#REF!),",","'RowDynamic':",ROW(BCKetQuaHoatDong_06028!#REF!),",","'Format':'string'",",'Value':'",SUBSTITUTE(BCKetQuaHoatDong_06028!#REF!,"'","\'"),"','TargetCode':''}")</f>
        <v>#REF!</v>
      </c>
    </row>
    <row r="147" spans="1:1" x14ac:dyDescent="0.2">
      <c r="A147" t="e">
        <f>CONCATENATE("{'SheetId':'9e57442d-faa2-4732-bfe8-6082c7f4cc3b'",",","'UId':'5421c502-37d0-4685-8721-da97bc1647cd'",",'Col':",COLUMN(BCKetQuaHoatDong_06028!#REF!),",'Row':",ROW(BCKetQuaHoatDong_06028!#REF!),",","'ColDynamic':",COLUMN(BCKetQuaHoatDong_06028!#REF!),",","'RowDynamic':",ROW(BCKetQuaHoatDong_06028!#REF!),",","'Format':'string'",",'Value':'",SUBSTITUTE(BCKetQuaHoatDong_06028!#REF!,"'","\'"),"','TargetCode':''}")</f>
        <v>#REF!</v>
      </c>
    </row>
    <row r="148" spans="1:1" x14ac:dyDescent="0.2">
      <c r="A148" t="e">
        <f>CONCATENATE("{'SheetId':'9e57442d-faa2-4732-bfe8-6082c7f4cc3b'",",","'UId':'5812b1e0-8cc5-403a-8aa2-76f62122285a'",",'Col':",COLUMN(BCKetQuaHoatDong_06028!#REF!),",'Row':",ROW(BCKetQuaHoatDong_06028!#REF!),",","'ColDynamic':",COLUMN(BCKetQuaHoatDong_06028!#REF!),",","'RowDynamic':",ROW(BCKetQuaHoatDong_06028!#REF!),",","'Format':'numberic'",",'Value':'",SUBSTITUTE(BCKetQuaHoatDong_06028!#REF!,"'","\'"),"','TargetCode':''}")</f>
        <v>#REF!</v>
      </c>
    </row>
    <row r="149" spans="1:1" x14ac:dyDescent="0.2">
      <c r="A149" t="e">
        <f>CONCATENATE("{'SheetId':'9e57442d-faa2-4732-bfe8-6082c7f4cc3b'",",","'UId':'74c4adba-f2e2-47ba-b1d9-c81333e7b81b'",",'Col':",COLUMN(BCKetQuaHoatDong_06028!#REF!),",'Row':",ROW(BCKetQuaHoatDong_06028!#REF!),",","'ColDynamic':",COLUMN(BCKetQuaHoatDong_06028!#REF!),",","'RowDynamic':",ROW(BCKetQuaHoatDong_06028!#REF!),",","'Format':'numberic'",",'Value':'",SUBSTITUTE(BCKetQuaHoatDong_06028!#REF!,"'","\'"),"','TargetCode':''}")</f>
        <v>#REF!</v>
      </c>
    </row>
    <row r="150" spans="1:1" x14ac:dyDescent="0.2">
      <c r="A150" t="e">
        <f>CONCATENATE("{'SheetId':'9e57442d-faa2-4732-bfe8-6082c7f4cc3b'",",","'UId':'96392593-7625-4eca-bcc3-a745f1640122'",",'Col':",COLUMN(BCKetQuaHoatDong_06028!#REF!),",'Row':",ROW(BCKetQuaHoatDong_06028!#REF!),",","'ColDynamic':",COLUMN(BCKetQuaHoatDong_06028!#REF!),",","'RowDynamic':",ROW(BCKetQuaHoatDong_06028!#REF!),",","'Format':'numberic'",",'Value':'",SUBSTITUTE(BCKetQuaHoatDong_06028!#REF!,"'","\'"),"','TargetCode':''}")</f>
        <v>#REF!</v>
      </c>
    </row>
    <row r="151" spans="1:1" x14ac:dyDescent="0.2">
      <c r="A151" t="e">
        <f>CONCATENATE("{'SheetId':'9e57442d-faa2-4732-bfe8-6082c7f4cc3b'",",","'UId':'1684b44f-5a47-49dd-9524-9d25562eb837'",",'Col':",COLUMN(BCKetQuaHoatDong_06028!#REF!),",'Row':",ROW(BCKetQuaHoatDong_06028!#REF!),",","'ColDynamic':",COLUMN(BCKetQuaHoatDong_06028!#REF!),",","'RowDynamic':",ROW(BCKetQuaHoatDong_06028!#REF!),",","'Format':'string'",",'Value':'",SUBSTITUTE(BCKetQuaHoatDong_06028!#REF!,"'","\'"),"','TargetCode':''}")</f>
        <v>#REF!</v>
      </c>
    </row>
    <row r="152" spans="1:1" x14ac:dyDescent="0.2">
      <c r="A152" t="e">
        <f>CONCATENATE("{'SheetId':'9e57442d-faa2-4732-bfe8-6082c7f4cc3b'",",","'UId':'1d822683-1c46-4696-93da-97875e9e5ba2'",",'Col':",COLUMN(BCKetQuaHoatDong_06028!#REF!),",'Row':",ROW(BCKetQuaHoatDong_06028!#REF!),",","'ColDynamic':",COLUMN(BCKetQuaHoatDong_06028!#REF!),",","'RowDynamic':",ROW(BCKetQuaHoatDong_06028!#REF!),",","'Format':'string'",",'Value':'",SUBSTITUTE(BCKetQuaHoatDong_06028!#REF!,"'","\'"),"','TargetCode':''}")</f>
        <v>#REF!</v>
      </c>
    </row>
    <row r="153" spans="1:1" x14ac:dyDescent="0.2">
      <c r="A153" t="e">
        <f>CONCATENATE("{'SheetId':'9e57442d-faa2-4732-bfe8-6082c7f4cc3b'",",","'UId':'288cde5c-bf89-4e1e-ba21-22a93634f760'",",'Col':",COLUMN(BCKetQuaHoatDong_06028!#REF!),",'Row':",ROW(BCKetQuaHoatDong_06028!#REF!),",","'ColDynamic':",COLUMN(BCKetQuaHoatDong_06028!#REF!),",","'RowDynamic':",ROW(BCKetQuaHoatDong_06028!#REF!),",","'Format':'string'",",'Value':'",SUBSTITUTE(BCKetQuaHoatDong_06028!#REF!,"'","\'"),"','TargetCode':''}")</f>
        <v>#REF!</v>
      </c>
    </row>
    <row r="154" spans="1:1" x14ac:dyDescent="0.2">
      <c r="A154" t="e">
        <f>CONCATENATE("{'SheetId':'9e57442d-faa2-4732-bfe8-6082c7f4cc3b'",",","'UId':'21f3c77c-886e-43f3-9ba5-fdc740bf45a7'",",'Col':",COLUMN(BCKetQuaHoatDong_06028!#REF!),",'Row':",ROW(BCKetQuaHoatDong_06028!#REF!),",","'ColDynamic':",COLUMN(BCKetQuaHoatDong_06028!#REF!),",","'RowDynamic':",ROW(BCKetQuaHoatDong_06028!#REF!),",","'Format':'numberic'",",'Value':'",SUBSTITUTE(BCKetQuaHoatDong_06028!#REF!,"'","\'"),"','TargetCode':''}")</f>
        <v>#REF!</v>
      </c>
    </row>
    <row r="155" spans="1:1" x14ac:dyDescent="0.2">
      <c r="A155" t="e">
        <f>CONCATENATE("{'SheetId':'9e57442d-faa2-4732-bfe8-6082c7f4cc3b'",",","'UId':'fff53ed1-05e1-4ac8-8249-2f48edf9fa14'",",'Col':",COLUMN(BCKetQuaHoatDong_06028!#REF!),",'Row':",ROW(BCKetQuaHoatDong_06028!#REF!),",","'ColDynamic':",COLUMN(BCKetQuaHoatDong_06028!#REF!),",","'RowDynamic':",ROW(BCKetQuaHoatDong_06028!#REF!),",","'Format':'numberic'",",'Value':'",SUBSTITUTE(BCKetQuaHoatDong_06028!#REF!,"'","\'"),"','TargetCode':''}")</f>
        <v>#REF!</v>
      </c>
    </row>
    <row r="156" spans="1:1" x14ac:dyDescent="0.2">
      <c r="A156" t="e">
        <f>CONCATENATE("{'SheetId':'9e57442d-faa2-4732-bfe8-6082c7f4cc3b'",",","'UId':'c1a4252e-e2cb-4233-bed1-d3afc836ccc8'",",'Col':",COLUMN(BCKetQuaHoatDong_06028!#REF!),",'Row':",ROW(BCKetQuaHoatDong_06028!#REF!),",","'ColDynamic':",COLUMN(BCKetQuaHoatDong_06028!#REF!),",","'RowDynamic':",ROW(BCKetQuaHoatDong_06028!#REF!),",","'Format':'numberic'",",'Value':'",SUBSTITUTE(BCKetQuaHoatDong_06028!#REF!,"'","\'"),"','TargetCode':''}")</f>
        <v>#REF!</v>
      </c>
    </row>
    <row r="157" spans="1:1" x14ac:dyDescent="0.2">
      <c r="A157" t="e">
        <f>CONCATENATE("{'SheetId':'9e57442d-faa2-4732-bfe8-6082c7f4cc3b'",",","'UId':'2b4c7218-ef2f-452d-80ea-cb1d29493e04'",",'Col':",COLUMN(BCKetQuaHoatDong_06028!#REF!),",'Row':",ROW(BCKetQuaHoatDong_06028!#REF!),",","'Format':'numberic'",",'Value':'",SUBSTITUTE(BCKetQuaHoatDong_06028!#REF!,"'","\'"),"','TargetCode':''}")</f>
        <v>#REF!</v>
      </c>
    </row>
    <row r="158" spans="1:1" x14ac:dyDescent="0.2">
      <c r="A158" t="e">
        <f>CONCATENATE("{'SheetId':'9e57442d-faa2-4732-bfe8-6082c7f4cc3b'",",","'UId':'2916fb19-bceb-454d-ad42-4fc7a299a2a3'",",'Col':",COLUMN(BCKetQuaHoatDong_06028!#REF!),",'Row':",ROW(BCKetQuaHoatDong_06028!#REF!),",","'Format':'numberic'",",'Value':'",SUBSTITUTE(BCKetQuaHoatDong_06028!#REF!,"'","\'"),"','TargetCode':''}")</f>
        <v>#REF!</v>
      </c>
    </row>
    <row r="159" spans="1:1" x14ac:dyDescent="0.2">
      <c r="A159" t="e">
        <f>CONCATENATE("{'SheetId':'9e57442d-faa2-4732-bfe8-6082c7f4cc3b'",",","'UId':'4e500903-fadf-4a73-8849-257ec68842d0'",",'Col':",COLUMN(BCKetQuaHoatDong_06028!#REF!),",'Row':",ROW(BCKetQuaHoatDong_06028!#REF!),",","'Format':'numberic'",",'Value':'",SUBSTITUTE(BCKetQuaHoatDong_06028!#REF!,"'","\'"),"','TargetCode':''}")</f>
        <v>#REF!</v>
      </c>
    </row>
    <row r="160" spans="1:1" x14ac:dyDescent="0.2">
      <c r="A160" t="e">
        <f>CONCATENATE("{'SheetId':'9e57442d-faa2-4732-bfe8-6082c7f4cc3b'",",","'UId':'3375f1ae-cbff-4701-a3da-4e0587c3ba19'",",'Col':",COLUMN(BCKetQuaHoatDong_06028!#REF!),",'Row':",ROW(BCKetQuaHoatDong_06028!#REF!),",","'ColDynamic':",COLUMN(BCKetQuaHoatDong_06028!#REF!),",","'RowDynamic':",ROW(BCKetQuaHoatDong_06028!#REF!),",","'Format':'string'",",'Value':'",SUBSTITUTE(BCKetQuaHoatDong_06028!#REF!,"'","\'"),"','TargetCode':''}")</f>
        <v>#REF!</v>
      </c>
    </row>
    <row r="161" spans="1:1" x14ac:dyDescent="0.2">
      <c r="A161" t="e">
        <f>CONCATENATE("{'SheetId':'9e57442d-faa2-4732-bfe8-6082c7f4cc3b'",",","'UId':'9a5c00dd-f0ae-4f6b-899c-c62fb6b0e055'",",'Col':",COLUMN(BCKetQuaHoatDong_06028!#REF!),",'Row':",ROW(BCKetQuaHoatDong_06028!#REF!),",","'ColDynamic':",COLUMN(BCKetQuaHoatDong_06028!#REF!),",","'RowDynamic':",ROW(BCKetQuaHoatDong_06028!#REF!),",","'Format':'string'",",'Value':'",SUBSTITUTE(BCKetQuaHoatDong_06028!#REF!,"'","\'"),"','TargetCode':''}")</f>
        <v>#REF!</v>
      </c>
    </row>
    <row r="162" spans="1:1" x14ac:dyDescent="0.2">
      <c r="A162" t="e">
        <f>CONCATENATE("{'SheetId':'9e57442d-faa2-4732-bfe8-6082c7f4cc3b'",",","'UId':'e529f3ef-4bc5-4a54-8507-f5a7546bd31b'",",'Col':",COLUMN(BCKetQuaHoatDong_06028!#REF!),",'Row':",ROW(BCKetQuaHoatDong_06028!#REF!),",","'ColDynamic':",COLUMN(BCKetQuaHoatDong_06028!#REF!),",","'RowDynamic':",ROW(BCKetQuaHoatDong_06028!#REF!),",","'Format':'string'",",'Value':'",SUBSTITUTE(BCKetQuaHoatDong_06028!#REF!,"'","\'"),"','TargetCode':''}")</f>
        <v>#REF!</v>
      </c>
    </row>
    <row r="163" spans="1:1" x14ac:dyDescent="0.2">
      <c r="A163" t="e">
        <f>CONCATENATE("{'SheetId':'9e57442d-faa2-4732-bfe8-6082c7f4cc3b'",",","'UId':'157e5771-4dd4-4ed6-838c-69dd228515cd'",",'Col':",COLUMN(BCKetQuaHoatDong_06028!#REF!),",'Row':",ROW(BCKetQuaHoatDong_06028!#REF!),",","'ColDynamic':",COLUMN(BCKetQuaHoatDong_06028!#REF!),",","'RowDynamic':",ROW(BCKetQuaHoatDong_06028!#REF!),",","'Format':'numberic'",",'Value':'",SUBSTITUTE(BCKetQuaHoatDong_06028!#REF!,"'","\'"),"','TargetCode':''}")</f>
        <v>#REF!</v>
      </c>
    </row>
    <row r="164" spans="1:1" x14ac:dyDescent="0.2">
      <c r="A164" t="e">
        <f>CONCATENATE("{'SheetId':'9e57442d-faa2-4732-bfe8-6082c7f4cc3b'",",","'UId':'1e7708d3-6d2b-4639-8d85-59b3c9bf16f5'",",'Col':",COLUMN(BCKetQuaHoatDong_06028!#REF!),",'Row':",ROW(BCKetQuaHoatDong_06028!#REF!),",","'ColDynamic':",COLUMN(BCKetQuaHoatDong_06028!#REF!),",","'RowDynamic':",ROW(BCKetQuaHoatDong_06028!#REF!),",","'Format':'numberic'",",'Value':'",SUBSTITUTE(BCKetQuaHoatDong_06028!#REF!,"'","\'"),"','TargetCode':''}")</f>
        <v>#REF!</v>
      </c>
    </row>
    <row r="165" spans="1:1" x14ac:dyDescent="0.2">
      <c r="A165" t="e">
        <f>CONCATENATE("{'SheetId':'9e57442d-faa2-4732-bfe8-6082c7f4cc3b'",",","'UId':'18031c0a-5fc4-4a35-8331-a60cef3972fd'",",'Col':",COLUMN(BCKetQuaHoatDong_06028!#REF!),",'Row':",ROW(BCKetQuaHoatDong_06028!#REF!),",","'ColDynamic':",COLUMN(BCKetQuaHoatDong_06028!#REF!),",","'RowDynamic':",ROW(BCKetQuaHoatDong_06028!#REF!),",","'Format':'numberic'",",'Value':'",SUBSTITUTE(BCKetQuaHoatDong_06028!#REF!,"'","\'"),"','TargetCode':''}")</f>
        <v>#REF!</v>
      </c>
    </row>
    <row r="166" spans="1:1" x14ac:dyDescent="0.2">
      <c r="A166" t="e">
        <f>CONCATENATE("{'SheetId':'9e57442d-faa2-4732-bfe8-6082c7f4cc3b'",",","'UId':'e9ca383c-5709-4691-85b7-b057e6160cd1'",",'Col':",COLUMN(BCKetQuaHoatDong_06028!#REF!),",'Row':",ROW(BCKetQuaHoatDong_06028!#REF!),",","'ColDynamic':",COLUMN(BCKetQuaHoatDong_06028!#REF!),",","'RowDynamic':",ROW(BCKetQuaHoatDong_06028!#REF!),",","'Format':'numberic'",",'Value':'",SUBSTITUTE(BCKetQuaHoatDong_06028!#REF!,"'","\'"),"','TargetCode':''}")</f>
        <v>#REF!</v>
      </c>
    </row>
    <row r="167" spans="1:1" x14ac:dyDescent="0.2">
      <c r="A167" t="e">
        <f>CONCATENATE("{'SheetId':'9e57442d-faa2-4732-bfe8-6082c7f4cc3b'",",","'UId':'bb4c4e63-9ff1-4c7f-9c20-cbf1eb834411'",",'Col':",COLUMN(BCKetQuaHoatDong_06028!#REF!),",'Row':",ROW(BCKetQuaHoatDong_06028!#REF!),",","'ColDynamic':",COLUMN(BCKetQuaHoatDong_06028!#REF!),",","'RowDynamic':",ROW(BCKetQuaHoatDong_06028!#REF!),",","'Format':'string'",",'Value':'",SUBSTITUTE(BCKetQuaHoatDong_06028!#REF!,"'","\'"),"','TargetCode':''}")</f>
        <v>#REF!</v>
      </c>
    </row>
    <row r="168" spans="1:1" x14ac:dyDescent="0.2">
      <c r="A168" t="e">
        <f>CONCATENATE("{'SheetId':'9e57442d-faa2-4732-bfe8-6082c7f4cc3b'",",","'UId':'cf469b2e-604b-4b36-a962-51a2cb87d71b'",",'Col':",COLUMN(BCKetQuaHoatDong_06028!#REF!),",'Row':",ROW(BCKetQuaHoatDong_06028!#REF!),",","'ColDynamic':",COLUMN(BCKetQuaHoatDong_06028!#REF!),",","'RowDynamic':",ROW(BCKetQuaHoatDong_06028!#REF!),",","'Format':'numberic'",",'Value':'",SUBSTITUTE(BCKetQuaHoatDong_06028!#REF!,"'","\'"),"','TargetCode':''}")</f>
        <v>#REF!</v>
      </c>
    </row>
    <row r="169" spans="1:1" x14ac:dyDescent="0.2">
      <c r="A169" t="e">
        <f>CONCATENATE("{'SheetId':'9e57442d-faa2-4732-bfe8-6082c7f4cc3b'",",","'UId':'7236a2f7-3d85-4186-bd79-f815a5305bc0'",",'Col':",COLUMN(BCKetQuaHoatDong_06028!#REF!),",'Row':",ROW(BCKetQuaHoatDong_06028!#REF!),",","'ColDynamic':",COLUMN(BCKetQuaHoatDong_06028!#REF!),",","'RowDynamic':",ROW(BCKetQuaHoatDong_06028!#REF!),",","'Format':'numberic'",",'Value':'",SUBSTITUTE(BCKetQuaHoatDong_06028!#REF!,"'","\'"),"','TargetCode':''}")</f>
        <v>#REF!</v>
      </c>
    </row>
    <row r="170" spans="1:1" x14ac:dyDescent="0.2">
      <c r="A170" t="e">
        <f>CONCATENATE("{'SheetId':'9e57442d-faa2-4732-bfe8-6082c7f4cc3b'",",","'UId':'41d51be1-826a-424b-a1c3-9f433e0fa1e0'",",'Col':",COLUMN(BCKetQuaHoatDong_06028!#REF!),",'Row':",ROW(BCKetQuaHoatDong_06028!#REF!),",","'ColDynamic':",COLUMN(BCKetQuaHoatDong_06028!#REF!),",","'RowDynamic':",ROW(BCKetQuaHoatDong_06028!#REF!),",","'Format':'numberic'",",'Value':'",SUBSTITUTE(BCKetQuaHoatDong_06028!#REF!,"'","\'"),"','TargetCode':''}")</f>
        <v>#REF!</v>
      </c>
    </row>
    <row r="171" spans="1:1" x14ac:dyDescent="0.2">
      <c r="A171" t="e">
        <f>CONCATENATE("{'SheetId':'9e57442d-faa2-4732-bfe8-6082c7f4cc3b'",",","'UId':'99b24644-99ee-4236-97d6-f31a397db047'",",'Col':",COLUMN(BCKetQuaHoatDong_06028!#REF!),",'Row':",ROW(BCKetQuaHoatDong_06028!#REF!),",","'ColDynamic':",COLUMN(BCKetQuaHoatDong_06028!#REF!),",","'RowDynamic':",ROW(BCKetQuaHoatDong_06028!#REF!),",","'Format':'numberic'",",'Value':'",SUBSTITUTE(BCKetQuaHoatDong_06028!#REF!,"'","\'"),"','TargetCode':''}")</f>
        <v>#REF!</v>
      </c>
    </row>
    <row r="172" spans="1:1" x14ac:dyDescent="0.2">
      <c r="A172" t="e">
        <f>CONCATENATE("{'SheetId':'9e57442d-faa2-4732-bfe8-6082c7f4cc3b'",",","'UId':'963cdae6-2163-4975-9a2a-f08497c7292d'",",'Col':",COLUMN(BCKetQuaHoatDong_06028!#REF!),",'Row':",ROW(BCKetQuaHoatDong_06028!#REF!),",","'Format':'numberic'",",'Value':'",SUBSTITUTE(BCKetQuaHoatDong_06028!#REF!,"'","\'"),"','TargetCode':''}")</f>
        <v>#REF!</v>
      </c>
    </row>
    <row r="173" spans="1:1" x14ac:dyDescent="0.2">
      <c r="A173" t="e">
        <f>CONCATENATE("{'SheetId':'9e57442d-faa2-4732-bfe8-6082c7f4cc3b'",",","'UId':'85eed99f-bfdc-4be7-9967-72d9b1d67a5b'",",'Col':",COLUMN(BCKetQuaHoatDong_06028!#REF!),",'Row':",ROW(BCKetQuaHoatDong_06028!#REF!),",","'Format':'numberic'",",'Value':'",SUBSTITUTE(BCKetQuaHoatDong_06028!#REF!,"'","\'"),"','TargetCode':''}")</f>
        <v>#REF!</v>
      </c>
    </row>
    <row r="174" spans="1:1" x14ac:dyDescent="0.2">
      <c r="A174" t="e">
        <f>CONCATENATE("{'SheetId':'9e57442d-faa2-4732-bfe8-6082c7f4cc3b'",",","'UId':'a66486eb-4505-4714-830d-ba2c3c0c6cd7'",",'Col':",COLUMN(BCKetQuaHoatDong_06028!#REF!),",'Row':",ROW(BCKetQuaHoatDong_06028!#REF!),",","'Format':'numberic'",",'Value':'",SUBSTITUTE(BCKetQuaHoatDong_06028!#REF!,"'","\'"),"','TargetCode':''}")</f>
        <v>#REF!</v>
      </c>
    </row>
    <row r="175" spans="1:1" x14ac:dyDescent="0.2">
      <c r="A175" t="e">
        <f>CONCATENATE("{'SheetId':'9e57442d-faa2-4732-bfe8-6082c7f4cc3b'",",","'UId':'c4d597d3-d405-427b-a1fc-b787dad001d1'",",'Col':",COLUMN(BCKetQuaHoatDong_06028!#REF!),",'Row':",ROW(BCKetQuaHoatDong_06028!#REF!),",","'ColDynamic':",COLUMN(BCKetQuaHoatDong_06028!#REF!),",","'RowDynamic':",ROW(BCKetQuaHoatDong_06028!#REF!),",","'Format':'numberic'",",'Value':'",SUBSTITUTE(BCKetQuaHoatDong_06028!#REF!,"'","\'"),"','TargetCode':''}")</f>
        <v>#REF!</v>
      </c>
    </row>
    <row r="176" spans="1:1" x14ac:dyDescent="0.2">
      <c r="A176" t="e">
        <f>CONCATENATE("{'SheetId':'9e57442d-faa2-4732-bfe8-6082c7f4cc3b'",",","'UId':'34322b3d-66d9-48e2-a6ed-41ab46e75c3a'",",'Col':",COLUMN(BCKetQuaHoatDong_06028!#REF!),",'Row':",ROW(BCKetQuaHoatDong_06028!#REF!),",","'ColDynamic':",COLUMN(BCKetQuaHoatDong_06028!#REF!),",","'RowDynamic':",ROW(BCKetQuaHoatDong_06028!#REF!),",","'Format':'string'",",'Value':'",SUBSTITUTE(BCKetQuaHoatDong_06028!#REF!,"'","\'"),"','TargetCode':''}")</f>
        <v>#REF!</v>
      </c>
    </row>
    <row r="177" spans="1:1" x14ac:dyDescent="0.2">
      <c r="A177" t="e">
        <f>CONCATENATE("{'SheetId':'9e57442d-faa2-4732-bfe8-6082c7f4cc3b'",",","'UId':'aa871a8e-d54f-4ec3-8934-b4c5c8c253ff'",",'Col':",COLUMN(BCKetQuaHoatDong_06028!#REF!),",'Row':",ROW(BCKetQuaHoatDong_06028!#REF!),",","'ColDynamic':",COLUMN(BCKetQuaHoatDong_06028!#REF!),",","'RowDynamic':",ROW(BCKetQuaHoatDong_06028!#REF!),",","'Format':'numberic'",",'Value':'",SUBSTITUTE(BCKetQuaHoatDong_06028!#REF!,"'","\'"),"','TargetCode':''}")</f>
        <v>#REF!</v>
      </c>
    </row>
    <row r="178" spans="1:1" x14ac:dyDescent="0.2">
      <c r="A178" t="e">
        <f>CONCATENATE("{'SheetId':'9e57442d-faa2-4732-bfe8-6082c7f4cc3b'",",","'UId':'5e304af1-37e8-46ce-b68f-96ac1c745279'",",'Col':",COLUMN(BCKetQuaHoatDong_06028!#REF!),",'Row':",ROW(BCKetQuaHoatDong_06028!#REF!),",","'ColDynamic':",COLUMN(BCKetQuaHoatDong_06028!#REF!),",","'RowDynamic':",ROW(BCKetQuaHoatDong_06028!#REF!),",","'Format':'numberic'",",'Value':'",SUBSTITUTE(BCKetQuaHoatDong_06028!#REF!,"'","\'"),"','TargetCode':''}")</f>
        <v>#REF!</v>
      </c>
    </row>
    <row r="179" spans="1:1" x14ac:dyDescent="0.2">
      <c r="A179" t="e">
        <f>CONCATENATE("{'SheetId':'9e57442d-faa2-4732-bfe8-6082c7f4cc3b'",",","'UId':'02dcd5d3-3a5e-4c36-9978-8477f2721b9f'",",'Col':",COLUMN(BCKetQuaHoatDong_06028!#REF!),",'Row':",ROW(BCKetQuaHoatDong_06028!#REF!),",","'ColDynamic':",COLUMN(BCKetQuaHoatDong_06028!#REF!),",","'RowDynamic':",ROW(BCKetQuaHoatDong_06028!#REF!),",","'Format':'numberic'",",'Value':'",SUBSTITUTE(BCKetQuaHoatDong_06028!#REF!,"'","\'"),"','TargetCode':''}")</f>
        <v>#REF!</v>
      </c>
    </row>
    <row r="180" spans="1:1" x14ac:dyDescent="0.2">
      <c r="A180" t="e">
        <f>CONCATENATE("{'SheetId':'9e57442d-faa2-4732-bfe8-6082c7f4cc3b'",",","'UId':'73293ce3-f1c4-49bf-9519-202708440388'",",'Col':",COLUMN(BCKetQuaHoatDong_06028!#REF!),",'Row':",ROW(BCKetQuaHoatDong_06028!#REF!),",","'ColDynamic':",COLUMN(BCKetQuaHoatDong_06028!#REF!),",","'RowDynamic':",ROW(BCKetQuaHoatDong_06028!#REF!),",","'Format':'numberic'",",'Value':'",SUBSTITUTE(BCKetQuaHoatDong_06028!#REF!,"'","\'"),"','TargetCode':''}")</f>
        <v>#REF!</v>
      </c>
    </row>
    <row r="181" spans="1:1" x14ac:dyDescent="0.2">
      <c r="A181" t="e">
        <f>CONCATENATE("{'SheetId':'9e57442d-faa2-4732-bfe8-6082c7f4cc3b'",",","'UId':'88d7b788-924c-41b1-9024-06cb828a057d'",",'Col':",COLUMN(BCKetQuaHoatDong_06028!#REF!),",'Row':",ROW(BCKetQuaHoatDong_06028!#REF!),",","'Format':'numberic'",",'Value':'",SUBSTITUTE(BCKetQuaHoatDong_06028!#REF!,"'","\'"),"','TargetCode':''}")</f>
        <v>#REF!</v>
      </c>
    </row>
    <row r="182" spans="1:1" x14ac:dyDescent="0.2">
      <c r="A182" t="e">
        <f>CONCATENATE("{'SheetId':'9e57442d-faa2-4732-bfe8-6082c7f4cc3b'",",","'UId':'56c81444-141c-4f3e-b219-ef50489aa3e6'",",'Col':",COLUMN(BCKetQuaHoatDong_06028!#REF!),",'Row':",ROW(BCKetQuaHoatDong_06028!#REF!),",","'Format':'numberic'",",'Value':'",SUBSTITUTE(BCKetQuaHoatDong_06028!#REF!,"'","\'"),"','TargetCode':''}")</f>
        <v>#REF!</v>
      </c>
    </row>
    <row r="183" spans="1:1" x14ac:dyDescent="0.2">
      <c r="A183" t="e">
        <f>CONCATENATE("{'SheetId':'9e57442d-faa2-4732-bfe8-6082c7f4cc3b'",",","'UId':'54ce9134-61e6-447d-89c5-0f14962d3277'",",'Col':",COLUMN(BCKetQuaHoatDong_06028!#REF!),",'Row':",ROW(BCKetQuaHoatDong_06028!#REF!),",","'Format':'numberic'",",'Value':'",SUBSTITUTE(BCKetQuaHoatDong_06028!#REF!,"'","\'"),"','TargetCode':''}")</f>
        <v>#REF!</v>
      </c>
    </row>
    <row r="184" spans="1:1" x14ac:dyDescent="0.2">
      <c r="A184" t="e">
        <f>CONCATENATE("{'SheetId':'9e57442d-faa2-4732-bfe8-6082c7f4cc3b'",",","'UId':'d3cedd3c-516c-40e4-9090-8f026ffcdbb4'",",'Col':",COLUMN(BCKetQuaHoatDong_06028!#REF!),",'Row':",ROW(BCKetQuaHoatDong_06028!#REF!),",","'ColDynamic':",COLUMN(BCKetQuaHoatDong_06028!#REF!),",","'RowDynamic':",ROW(BCKetQuaHoatDong_06028!#REF!),",","'Format':'string'",",'Value':'",SUBSTITUTE(BCKetQuaHoatDong_06028!#REF!,"'","\'"),"','TargetCode':''}")</f>
        <v>#REF!</v>
      </c>
    </row>
    <row r="185" spans="1:1" x14ac:dyDescent="0.2">
      <c r="A185" t="e">
        <f>CONCATENATE("{'SheetId':'9e57442d-faa2-4732-bfe8-6082c7f4cc3b'",",","'UId':'fd9e1759-2314-441b-99e2-496ec3bce44d'",",'Col':",COLUMN(BCKetQuaHoatDong_06028!#REF!),",'Row':",ROW(BCKetQuaHoatDong_06028!#REF!),",","'ColDynamic':",COLUMN(BCKetQuaHoatDong_06028!#REF!),",","'RowDynamic':",ROW(BCKetQuaHoatDong_06028!#REF!),",","'Format':'string'",",'Value':'",SUBSTITUTE(BCKetQuaHoatDong_06028!#REF!,"'","\'"),"','TargetCode':''}")</f>
        <v>#REF!</v>
      </c>
    </row>
    <row r="186" spans="1:1" x14ac:dyDescent="0.2">
      <c r="A186" t="e">
        <f>CONCATENATE("{'SheetId':'9e57442d-faa2-4732-bfe8-6082c7f4cc3b'",",","'UId':'b2af877d-5bdc-45cb-ab99-97d8cb5e9a21'",",'Col':",COLUMN(BCKetQuaHoatDong_06028!#REF!),",'Row':",ROW(BCKetQuaHoatDong_06028!#REF!),",","'ColDynamic':",COLUMN(BCKetQuaHoatDong_06028!#REF!),",","'RowDynamic':",ROW(BCKetQuaHoatDong_06028!#REF!),",","'Format':'string'",",'Value':'",SUBSTITUTE(BCKetQuaHoatDong_06028!#REF!,"'","\'"),"','TargetCode':''}")</f>
        <v>#REF!</v>
      </c>
    </row>
    <row r="187" spans="1:1" x14ac:dyDescent="0.2">
      <c r="A187" t="e">
        <f>CONCATENATE("{'SheetId':'9e57442d-faa2-4732-bfe8-6082c7f4cc3b'",",","'UId':'6055e573-b541-4e55-beea-404337a11df2'",",'Col':",COLUMN(BCKetQuaHoatDong_06028!#REF!),",'Row':",ROW(BCKetQuaHoatDong_06028!#REF!),",","'ColDynamic':",COLUMN(BCKetQuaHoatDong_06028!#REF!),",","'RowDynamic':",ROW(BCKetQuaHoatDong_06028!#REF!),",","'Format':'numberic'",",'Value':'",SUBSTITUTE(BCKetQuaHoatDong_06028!#REF!,"'","\'"),"','TargetCode':''}")</f>
        <v>#REF!</v>
      </c>
    </row>
    <row r="188" spans="1:1" x14ac:dyDescent="0.2">
      <c r="A188" t="e">
        <f>CONCATENATE("{'SheetId':'9e57442d-faa2-4732-bfe8-6082c7f4cc3b'",",","'UId':'df594e12-6bc1-400d-8d36-4adbfe7ab6dc'",",'Col':",COLUMN(BCKetQuaHoatDong_06028!#REF!),",'Row':",ROW(BCKetQuaHoatDong_06028!#REF!),",","'ColDynamic':",COLUMN(BCKetQuaHoatDong_06028!#REF!),",","'RowDynamic':",ROW(BCKetQuaHoatDong_06028!#REF!),",","'Format':'numberic'",",'Value':'",SUBSTITUTE(BCKetQuaHoatDong_06028!#REF!,"'","\'"),"','TargetCode':''}")</f>
        <v>#REF!</v>
      </c>
    </row>
    <row r="189" spans="1:1" x14ac:dyDescent="0.2">
      <c r="A189" t="e">
        <f>CONCATENATE("{'SheetId':'9e57442d-faa2-4732-bfe8-6082c7f4cc3b'",",","'UId':'c9faeb9c-ebb7-482f-b552-2ddd9e5785fb'",",'Col':",COLUMN(BCKetQuaHoatDong_06028!#REF!),",'Row':",ROW(BCKetQuaHoatDong_06028!#REF!),",","'ColDynamic':",COLUMN(BCKetQuaHoatDong_06028!#REF!),",","'RowDynamic':",ROW(BCKetQuaHoatDong_06028!#REF!),",","'Format':'numberic'",",'Value':'",SUBSTITUTE(BCKetQuaHoatDong_06028!#REF!,"'","\'"),"','TargetCode':''}")</f>
        <v>#REF!</v>
      </c>
    </row>
    <row r="190" spans="1:1" x14ac:dyDescent="0.2">
      <c r="A190" t="e">
        <f>CONCATENATE("{'SheetId':'9e57442d-faa2-4732-bfe8-6082c7f4cc3b'",",","'UId':'86daf83b-4be9-4f49-9d86-743676c0a3ca'",",'Col':",COLUMN(BCKetQuaHoatDong_06028!#REF!),",'Row':",ROW(BCKetQuaHoatDong_06028!#REF!),",","'ColDynamic':",COLUMN(BCKetQuaHoatDong_06028!#REF!),",","'RowDynamic':",ROW(BCKetQuaHoatDong_06028!#REF!),",","'Format':'string'",",'Value':'",SUBSTITUTE(BCKetQuaHoatDong_06028!#REF!,"'","\'"),"','TargetCode':''}")</f>
        <v>#REF!</v>
      </c>
    </row>
    <row r="191" spans="1:1" x14ac:dyDescent="0.2">
      <c r="A191" t="e">
        <f>CONCATENATE("{'SheetId':'9e57442d-faa2-4732-bfe8-6082c7f4cc3b'",",","'UId':'42a9a354-81a5-4cba-969a-2260ca48b201'",",'Col':",COLUMN(BCKetQuaHoatDong_06028!#REF!),",'Row':",ROW(BCKetQuaHoatDong_06028!#REF!),",","'ColDynamic':",COLUMN(BCKetQuaHoatDong_06028!#REF!),",","'RowDynamic':",ROW(BCKetQuaHoatDong_06028!#REF!),",","'Format':'string'",",'Value':'",SUBSTITUTE(BCKetQuaHoatDong_06028!#REF!,"'","\'"),"','TargetCode':''}")</f>
        <v>#REF!</v>
      </c>
    </row>
    <row r="192" spans="1:1" x14ac:dyDescent="0.2">
      <c r="A192" t="e">
        <f>CONCATENATE("{'SheetId':'9e57442d-faa2-4732-bfe8-6082c7f4cc3b'",",","'UId':'7248306d-423b-4b61-8f1b-e35d71b323f3'",",'Col':",COLUMN(BCKetQuaHoatDong_06028!#REF!),",'Row':",ROW(BCKetQuaHoatDong_06028!#REF!),",","'ColDynamic':",COLUMN(BCKetQuaHoatDong_06028!#REF!),",","'RowDynamic':",ROW(BCKetQuaHoatDong_06028!#REF!),",","'Format':'string'",",'Value':'",SUBSTITUTE(BCKetQuaHoatDong_06028!#REF!,"'","\'"),"','TargetCode':''}")</f>
        <v>#REF!</v>
      </c>
    </row>
    <row r="193" spans="1:1" x14ac:dyDescent="0.2">
      <c r="A193" t="e">
        <f>CONCATENATE("{'SheetId':'9e57442d-faa2-4732-bfe8-6082c7f4cc3b'",",","'UId':'35799ba3-fea0-48d2-b27f-56054b206bd2'",",'Col':",COLUMN(BCKetQuaHoatDong_06028!#REF!),",'Row':",ROW(BCKetQuaHoatDong_06028!#REF!),",","'ColDynamic':",COLUMN(BCKetQuaHoatDong_06028!#REF!),",","'RowDynamic':",ROW(BCKetQuaHoatDong_06028!#REF!),",","'Format':'numberic'",",'Value':'",SUBSTITUTE(BCKetQuaHoatDong_06028!#REF!,"'","\'"),"','TargetCode':''}")</f>
        <v>#REF!</v>
      </c>
    </row>
    <row r="194" spans="1:1" x14ac:dyDescent="0.2">
      <c r="A194" t="e">
        <f>CONCATENATE("{'SheetId':'9e57442d-faa2-4732-bfe8-6082c7f4cc3b'",",","'UId':'1863aaae-65a9-4f9f-9c5d-b3b2a95e519b'",",'Col':",COLUMN(BCKetQuaHoatDong_06028!#REF!),",'Row':",ROW(BCKetQuaHoatDong_06028!#REF!),",","'ColDynamic':",COLUMN(BCKetQuaHoatDong_06028!#REF!),",","'RowDynamic':",ROW(BCKetQuaHoatDong_06028!#REF!),",","'Format':'numberic'",",'Value':'",SUBSTITUTE(BCKetQuaHoatDong_06028!#REF!,"'","\'"),"','TargetCode':''}")</f>
        <v>#REF!</v>
      </c>
    </row>
    <row r="195" spans="1:1" x14ac:dyDescent="0.2">
      <c r="A195" t="e">
        <f>CONCATENATE("{'SheetId':'9e57442d-faa2-4732-bfe8-6082c7f4cc3b'",",","'UId':'45a838e8-921d-463e-8daa-a5c771a772aa'",",'Col':",COLUMN(BCKetQuaHoatDong_06028!#REF!),",'Row':",ROW(BCKetQuaHoatDong_06028!#REF!),",","'ColDynamic':",COLUMN(BCKetQuaHoatDong_06028!#REF!),",","'RowDynamic':",ROW(BCKetQuaHoatDong_06028!#REF!),",","'Format':'numberic'",",'Value':'",SUBSTITUTE(BCKetQuaHoatDong_06028!#REF!,"'","\'"),"','TargetCode':''}")</f>
        <v>#REF!</v>
      </c>
    </row>
    <row r="196" spans="1:1" x14ac:dyDescent="0.2">
      <c r="A196" t="e">
        <f>CONCATENATE("{'SheetId':'9e57442d-faa2-4732-bfe8-6082c7f4cc3b'",",","'UId':'92637f9d-bdc5-457b-88b2-aff969e13803'",",'Col':",COLUMN(BCKetQuaHoatDong_06028!#REF!),",'Row':",ROW(BCKetQuaHoatDong_06028!#REF!),",","'ColDynamic':",COLUMN(BCKetQuaHoatDong_06028!#REF!),",","'RowDynamic':",ROW(BCKetQuaHoatDong_06028!#REF!),",","'Format':'string'",",'Value':'",SUBSTITUTE(BCKetQuaHoatDong_06028!#REF!,"'","\'"),"','TargetCode':''}")</f>
        <v>#REF!</v>
      </c>
    </row>
    <row r="197" spans="1:1" x14ac:dyDescent="0.2">
      <c r="A197" t="e">
        <f>CONCATENATE("{'SheetId':'9e57442d-faa2-4732-bfe8-6082c7f4cc3b'",",","'UId':'9324259d-0980-483f-b763-35d2a940c493'",",'Col':",COLUMN(BCKetQuaHoatDong_06028!#REF!),",'Row':",ROW(BCKetQuaHoatDong_06028!#REF!),",","'ColDynamic':",COLUMN(BCKetQuaHoatDong_06028!#REF!),",","'RowDynamic':",ROW(BCKetQuaHoatDong_06028!#REF!),",","'Format':'string'",",'Value':'",SUBSTITUTE(BCKetQuaHoatDong_06028!#REF!,"'","\'"),"','TargetCode':''}")</f>
        <v>#REF!</v>
      </c>
    </row>
    <row r="198" spans="1:1" x14ac:dyDescent="0.2">
      <c r="A198" t="e">
        <f>CONCATENATE("{'SheetId':'9e57442d-faa2-4732-bfe8-6082c7f4cc3b'",",","'UId':'67c26905-bf35-4a04-be60-4f96f03e26a6'",",'Col':",COLUMN(BCKetQuaHoatDong_06028!#REF!),",'Row':",ROW(BCKetQuaHoatDong_06028!#REF!),",","'ColDynamic':",COLUMN(BCKetQuaHoatDong_06028!#REF!),",","'RowDynamic':",ROW(BCKetQuaHoatDong_06028!#REF!),",","'Format':'string'",",'Value':'",SUBSTITUTE(BCKetQuaHoatDong_06028!#REF!,"'","\'"),"','TargetCode':''}")</f>
        <v>#REF!</v>
      </c>
    </row>
    <row r="199" spans="1:1" x14ac:dyDescent="0.2">
      <c r="A199" t="e">
        <f>CONCATENATE("{'SheetId':'9e57442d-faa2-4732-bfe8-6082c7f4cc3b'",",","'UId':'1fe83977-2f78-4ce9-aa52-80fb62c52ad7'",",'Col':",COLUMN(BCKetQuaHoatDong_06028!#REF!),",'Row':",ROW(BCKetQuaHoatDong_06028!#REF!),",","'ColDynamic':",COLUMN(BCKetQuaHoatDong_06028!#REF!),",","'RowDynamic':",ROW(BCKetQuaHoatDong_06028!#REF!),",","'Format':'numberic'",",'Value':'",SUBSTITUTE(BCKetQuaHoatDong_06028!#REF!,"'","\'"),"','TargetCode':''}")</f>
        <v>#REF!</v>
      </c>
    </row>
    <row r="200" spans="1:1" x14ac:dyDescent="0.2">
      <c r="A200" t="e">
        <f>CONCATENATE("{'SheetId':'9e57442d-faa2-4732-bfe8-6082c7f4cc3b'",",","'UId':'3e45938a-8b15-4a28-8d4e-6889d6469db5'",",'Col':",COLUMN(BCKetQuaHoatDong_06028!#REF!),",'Row':",ROW(BCKetQuaHoatDong_06028!#REF!),",","'ColDynamic':",COLUMN(BCKetQuaHoatDong_06028!#REF!),",","'RowDynamic':",ROW(BCKetQuaHoatDong_06028!#REF!),",","'Format':'numberic'",",'Value':'",SUBSTITUTE(BCKetQuaHoatDong_06028!#REF!,"'","\'"),"','TargetCode':''}")</f>
        <v>#REF!</v>
      </c>
    </row>
    <row r="201" spans="1:1" x14ac:dyDescent="0.2">
      <c r="A201" t="e">
        <f>CONCATENATE("{'SheetId':'9e57442d-faa2-4732-bfe8-6082c7f4cc3b'",",","'UId':'3873886c-5e1c-44a4-ba3a-dae5f5accc8b'",",'Col':",COLUMN(BCKetQuaHoatDong_06028!#REF!),",'Row':",ROW(BCKetQuaHoatDong_06028!#REF!),",","'ColDynamic':",COLUMN(BCKetQuaHoatDong_06028!#REF!),",","'RowDynamic':",ROW(BCKetQuaHoatDong_06028!#REF!),",","'Format':'numberic'",",'Value':'",SUBSTITUTE(BCKetQuaHoatDong_06028!#REF!,"'","\'"),"','TargetCode':''}")</f>
        <v>#REF!</v>
      </c>
    </row>
    <row r="202" spans="1:1" x14ac:dyDescent="0.2">
      <c r="A202" t="e">
        <f>CONCATENATE("{'SheetId':'9e57442d-faa2-4732-bfe8-6082c7f4cc3b'",",","'UId':'15e86dda-a54b-4326-8eb7-afbb7929b116'",",'Col':",COLUMN(BCKetQuaHoatDong_06028!#REF!),",'Row':",ROW(BCKetQuaHoatDong_06028!#REF!),",","'ColDynamic':",COLUMN(BCKetQuaHoatDong_06028!#REF!),",","'RowDynamic':",ROW(BCKetQuaHoatDong_06028!#REF!),",","'Format':'numberic'",",'Value':'",SUBSTITUTE(BCKetQuaHoatDong_06028!#REF!,"'","\'"),"','TargetCode':''}")</f>
        <v>#REF!</v>
      </c>
    </row>
    <row r="203" spans="1:1" x14ac:dyDescent="0.2">
      <c r="A203" t="e">
        <f>CONCATENATE("{'SheetId':'9e57442d-faa2-4732-bfe8-6082c7f4cc3b'",",","'UId':'73810421-b7f7-40d7-95d6-b4923d77dc4e'",",'Col':",COLUMN(BCKetQuaHoatDong_06028!#REF!),",'Row':",ROW(BCKetQuaHoatDong_06028!#REF!),",","'ColDynamic':",COLUMN(BCKetQuaHoatDong_06028!#REF!),",","'RowDynamic':",ROW(BCKetQuaHoatDong_06028!#REF!),",","'Format':'string'",",'Value':'",SUBSTITUTE(BCKetQuaHoatDong_06028!#REF!,"'","\'"),"','TargetCode':''}")</f>
        <v>#REF!</v>
      </c>
    </row>
    <row r="204" spans="1:1" x14ac:dyDescent="0.2">
      <c r="A204" t="e">
        <f>CONCATENATE("{'SheetId':'9e57442d-faa2-4732-bfe8-6082c7f4cc3b'",",","'UId':'fa8bdb68-7be0-411f-9202-332d6807316c'",",'Col':",COLUMN(BCKetQuaHoatDong_06028!#REF!),",'Row':",ROW(BCKetQuaHoatDong_06028!#REF!),",","'ColDynamic':",COLUMN(BCKetQuaHoatDong_06028!#REF!),",","'RowDynamic':",ROW(BCKetQuaHoatDong_06028!#REF!),",","'Format':'numberic'",",'Value':'",SUBSTITUTE(BCKetQuaHoatDong_06028!#REF!,"'","\'"),"','TargetCode':''}")</f>
        <v>#REF!</v>
      </c>
    </row>
    <row r="205" spans="1:1" x14ac:dyDescent="0.2">
      <c r="A205" t="e">
        <f>CONCATENATE("{'SheetId':'9e57442d-faa2-4732-bfe8-6082c7f4cc3b'",",","'UId':'6e89f4c2-e229-478a-a50a-9e0592742b95'",",'Col':",COLUMN(BCKetQuaHoatDong_06028!#REF!),",'Row':",ROW(BCKetQuaHoatDong_06028!#REF!),",","'ColDynamic':",COLUMN(BCKetQuaHoatDong_06028!#REF!),",","'RowDynamic':",ROW(BCKetQuaHoatDong_06028!#REF!),",","'Format':'numberic'",",'Value':'",SUBSTITUTE(BCKetQuaHoatDong_06028!#REF!,"'","\'"),"','TargetCode':''}")</f>
        <v>#REF!</v>
      </c>
    </row>
    <row r="206" spans="1:1" x14ac:dyDescent="0.2">
      <c r="A206" t="e">
        <f>CONCATENATE("{'SheetId':'9e57442d-faa2-4732-bfe8-6082c7f4cc3b'",",","'UId':'8eb70317-0c52-43e4-a50d-f13250c186b6'",",'Col':",COLUMN(BCKetQuaHoatDong_06028!#REF!),",'Row':",ROW(BCKetQuaHoatDong_06028!#REF!),",","'ColDynamic':",COLUMN(BCKetQuaHoatDong_06028!#REF!),",","'RowDynamic':",ROW(BCKetQuaHoatDong_06028!#REF!),",","'Format':'numberic'",",'Value':'",SUBSTITUTE(BCKetQuaHoatDong_06028!#REF!,"'","\'"),"','TargetCode':''}")</f>
        <v>#REF!</v>
      </c>
    </row>
    <row r="207" spans="1:1" x14ac:dyDescent="0.2">
      <c r="A207" t="e">
        <f>CONCATENATE("{'SheetId':'9e57442d-faa2-4732-bfe8-6082c7f4cc3b'",",","'UId':'e790d9d2-07c7-4410-a57b-aa8d373644f1'",",'Col':",COLUMN(BCKetQuaHoatDong_06028!#REF!),",'Row':",ROW(BCKetQuaHoatDong_06028!#REF!),",","'ColDynamic':",COLUMN(BCKetQuaHoatDong_06028!#REF!),",","'RowDynamic':",ROW(BCKetQuaHoatDong_06028!#REF!),",","'Format':'numberic'",",'Value':'",SUBSTITUTE(BCKetQuaHoatDong_06028!#REF!,"'","\'"),"','TargetCode':''}")</f>
        <v>#REF!</v>
      </c>
    </row>
    <row r="208" spans="1:1" x14ac:dyDescent="0.2">
      <c r="A208" t="e">
        <f>CONCATENATE("{'SheetId':'9e57442d-faa2-4732-bfe8-6082c7f4cc3b'",",","'UId':'581705f2-b558-44e2-8b63-817b7dd987f8'",",'Col':",COLUMN(BCKetQuaHoatDong_06028!#REF!),",'Row':",ROW(BCKetQuaHoatDong_06028!#REF!),",","'Format':'numberic'",",'Value':'",SUBSTITUTE(BCKetQuaHoatDong_06028!#REF!,"'","\'"),"','TargetCode':''}")</f>
        <v>#REF!</v>
      </c>
    </row>
    <row r="209" spans="1:1" x14ac:dyDescent="0.2">
      <c r="A209" t="e">
        <f>CONCATENATE("{'SheetId':'9e57442d-faa2-4732-bfe8-6082c7f4cc3b'",",","'UId':'a342e52b-1996-43bd-aad7-3f3a098098b1'",",'Col':",COLUMN(BCKetQuaHoatDong_06028!#REF!),",'Row':",ROW(BCKetQuaHoatDong_06028!#REF!),",","'Format':'numberic'",",'Value':'",SUBSTITUTE(BCKetQuaHoatDong_06028!#REF!,"'","\'"),"','TargetCode':''}")</f>
        <v>#REF!</v>
      </c>
    </row>
    <row r="210" spans="1:1" x14ac:dyDescent="0.2">
      <c r="A210" t="e">
        <f>CONCATENATE("{'SheetId':'9e57442d-faa2-4732-bfe8-6082c7f4cc3b'",",","'UId':'ae6443cc-5c55-4f1a-a361-ff2dd22018a3'",",'Col':",COLUMN(BCKetQuaHoatDong_06028!#REF!),",'Row':",ROW(BCKetQuaHoatDong_06028!#REF!),",","'Format':'numberic'",",'Value':'",SUBSTITUTE(BCKetQuaHoatDong_06028!#REF!,"'","\'"),"','TargetCode':''}")</f>
        <v>#REF!</v>
      </c>
    </row>
    <row r="211" spans="1:1" x14ac:dyDescent="0.2">
      <c r="A211" t="e">
        <f>CONCATENATE("{'SheetId':'9e57442d-faa2-4732-bfe8-6082c7f4cc3b'",",","'UId':'bcb48df1-b7bd-4f2c-bf76-37ec4b6cf56f'",",'Col':",COLUMN(BCKetQuaHoatDong_06028!#REF!),",'Row':",ROW(BCKetQuaHoatDong_06028!#REF!),",","'ColDynamic':",COLUMN(BCKetQuaHoatDong_06028!#REF!),",","'RowDynamic':",ROW(BCKetQuaHoatDong_06028!#REF!),",","'Format':'numberic'",",'Value':'",SUBSTITUTE(BCKetQuaHoatDong_06028!#REF!,"'","\'"),"','TargetCode':''}")</f>
        <v>#REF!</v>
      </c>
    </row>
    <row r="212" spans="1:1" x14ac:dyDescent="0.2">
      <c r="A212" t="e">
        <f>CONCATENATE("{'SheetId':'9e57442d-faa2-4732-bfe8-6082c7f4cc3b'",",","'UId':'24de0f49-0a19-489f-940f-75cb0b19d5bd'",",'Col':",COLUMN(BCKetQuaHoatDong_06028!#REF!),",'Row':",ROW(BCKetQuaHoatDong_06028!#REF!),",","'ColDynamic':",COLUMN(BCKetQuaHoatDong_06028!#REF!),",","'RowDynamic':",ROW(BCKetQuaHoatDong_06028!#REF!),",","'Format':'string'",",'Value':'",SUBSTITUTE(BCKetQuaHoatDong_06028!#REF!,"'","\'"),"','TargetCode':''}")</f>
        <v>#REF!</v>
      </c>
    </row>
    <row r="213" spans="1:1" x14ac:dyDescent="0.2">
      <c r="A213" t="e">
        <f>CONCATENATE("{'SheetId':'9e57442d-faa2-4732-bfe8-6082c7f4cc3b'",",","'UId':'3edb652c-0c08-4cc3-a08e-49f67f5ed250'",",'Col':",COLUMN(BCKetQuaHoatDong_06028!#REF!),",'Row':",ROW(BCKetQuaHoatDong_06028!#REF!),",","'ColDynamic':",COLUMN(BCKetQuaHoatDong_06028!#REF!),",","'RowDynamic':",ROW(BCKetQuaHoatDong_06028!#REF!),",","'Format':'numberic'",",'Value':'",SUBSTITUTE(BCKetQuaHoatDong_06028!#REF!,"'","\'"),"','TargetCode':''}")</f>
        <v>#REF!</v>
      </c>
    </row>
    <row r="214" spans="1:1" x14ac:dyDescent="0.2">
      <c r="A214" t="e">
        <f>CONCATENATE("{'SheetId':'9e57442d-faa2-4732-bfe8-6082c7f4cc3b'",",","'UId':'1553eca9-03d8-4552-8ef0-e6d8e0d3318c'",",'Col':",COLUMN(BCKetQuaHoatDong_06028!#REF!),",'Row':",ROW(BCKetQuaHoatDong_06028!#REF!),",","'ColDynamic':",COLUMN(BCKetQuaHoatDong_06028!#REF!),",","'RowDynamic':",ROW(BCKetQuaHoatDong_06028!#REF!),",","'Format':'numberic'",",'Value':'",SUBSTITUTE(BCKetQuaHoatDong_06028!#REF!,"'","\'"),"','TargetCode':''}")</f>
        <v>#REF!</v>
      </c>
    </row>
    <row r="215" spans="1:1" x14ac:dyDescent="0.2">
      <c r="A215" t="e">
        <f>CONCATENATE("{'SheetId':'9e57442d-faa2-4732-bfe8-6082c7f4cc3b'",",","'UId':'17c4f79a-fc43-4be8-9d15-bb9c3616d000'",",'Col':",COLUMN(BCKetQuaHoatDong_06028!#REF!),",'Row':",ROW(BCKetQuaHoatDong_06028!#REF!),",","'ColDynamic':",COLUMN(BCKetQuaHoatDong_06028!#REF!),",","'RowDynamic':",ROW(BCKetQuaHoatDong_06028!#REF!),",","'Format':'numberic'",",'Value':'",SUBSTITUTE(BCKetQuaHoatDong_06028!#REF!,"'","\'"),"','TargetCode':''}")</f>
        <v>#REF!</v>
      </c>
    </row>
    <row r="216" spans="1:1" x14ac:dyDescent="0.2">
      <c r="A216" t="e">
        <f>CONCATENATE("{'SheetId':'9e57442d-faa2-4732-bfe8-6082c7f4cc3b'",",","'UId':'a89698fd-f0c3-4ca9-8d66-bdcc696fc670'",",'Col':",COLUMN(BCKetQuaHoatDong_06028!#REF!),",'Row':",ROW(BCKetQuaHoatDong_06028!#REF!),",","'ColDynamic':",COLUMN(BCKetQuaHoatDong_06028!#REF!),",","'RowDynamic':",ROW(BCKetQuaHoatDong_06028!#REF!),",","'Format':'numberic'",",'Value':'",SUBSTITUTE(BCKetQuaHoatDong_06028!#REF!,"'","\'"),"','TargetCode':''}")</f>
        <v>#REF!</v>
      </c>
    </row>
    <row r="217" spans="1:1" x14ac:dyDescent="0.2">
      <c r="A217" t="e">
        <f>CONCATENATE("{'SheetId':'9e57442d-faa2-4732-bfe8-6082c7f4cc3b'",",","'UId':'22eae942-46a3-4663-8bad-854ee399b27a'",",'Col':",COLUMN(BCKetQuaHoatDong_06028!#REF!),",'Row':",ROW(BCKetQuaHoatDong_06028!#REF!),",","'Format':'numberic'",",'Value':'",SUBSTITUTE(BCKetQuaHoatDong_06028!#REF!,"'","\'"),"','TargetCode':''}")</f>
        <v>#REF!</v>
      </c>
    </row>
    <row r="218" spans="1:1" x14ac:dyDescent="0.2">
      <c r="A218" t="e">
        <f>CONCATENATE("{'SheetId':'9e57442d-faa2-4732-bfe8-6082c7f4cc3b'",",","'UId':'e86bd792-47df-41d4-b178-07deae52a1d3'",",'Col':",COLUMN(BCKetQuaHoatDong_06028!#REF!),",'Row':",ROW(BCKetQuaHoatDong_06028!#REF!),",","'Format':'numberic'",",'Value':'",SUBSTITUTE(BCKetQuaHoatDong_06028!#REF!,"'","\'"),"','TargetCode':''}")</f>
        <v>#REF!</v>
      </c>
    </row>
    <row r="219" spans="1:1" x14ac:dyDescent="0.2">
      <c r="A219" t="e">
        <f>CONCATENATE("{'SheetId':'9e57442d-faa2-4732-bfe8-6082c7f4cc3b'",",","'UId':'38ae0936-1d1f-43c1-92bd-8403ec08cfeb'",",'Col':",COLUMN(BCKetQuaHoatDong_06028!#REF!),",'Row':",ROW(BCKetQuaHoatDong_06028!#REF!),",","'Format':'numberic'",",'Value':'",SUBSTITUTE(BCKetQuaHoatDong_06028!#REF!,"'","\'"),"','TargetCode':''}")</f>
        <v>#REF!</v>
      </c>
    </row>
    <row r="220" spans="1:1" x14ac:dyDescent="0.2">
      <c r="A220" t="e">
        <f>CONCATENATE("{'SheetId':'9e57442d-faa2-4732-bfe8-6082c7f4cc3b'",",","'UId':'ecb4026f-1a26-45ab-9660-b78f43ce41ce'",",'Col':",COLUMN(BCKetQuaHoatDong_06028!#REF!),",'Row':",ROW(BCKetQuaHoatDong_06028!#REF!),",","'ColDynamic':",COLUMN(BCKetQuaHoatDong_06028!#REF!),",","'RowDynamic':",ROW(BCKetQuaHoatDong_06028!#REF!),",","'Format':'numberic'",",'Value':'",SUBSTITUTE(BCKetQuaHoatDong_06028!#REF!,"'","\'"),"','TargetCode':''}")</f>
        <v>#REF!</v>
      </c>
    </row>
    <row r="221" spans="1:1" x14ac:dyDescent="0.2">
      <c r="A221" t="e">
        <f>CONCATENATE("{'SheetId':'9e57442d-faa2-4732-bfe8-6082c7f4cc3b'",",","'UId':'91eaa931-c442-4276-b12a-9dda3acbc478'",",'Col':",COLUMN(BCKetQuaHoatDong_06028!#REF!),",'Row':",ROW(BCKetQuaHoatDong_06028!#REF!),",","'ColDynamic':",COLUMN(BCKetQuaHoatDong_06028!#REF!),",","'RowDynamic':",ROW(BCKetQuaHoatDong_06028!#REF!),",","'Format':'string'",",'Value':'",SUBSTITUTE(BCKetQuaHoatDong_06028!#REF!,"'","\'"),"','TargetCode':''}")</f>
        <v>#REF!</v>
      </c>
    </row>
    <row r="222" spans="1:1" x14ac:dyDescent="0.2">
      <c r="A222" t="e">
        <f>CONCATENATE("{'SheetId':'9e57442d-faa2-4732-bfe8-6082c7f4cc3b'",",","'UId':'f9950487-005d-4640-aa21-0cc2a775f31c'",",'Col':",COLUMN(BCKetQuaHoatDong_06028!#REF!),",'Row':",ROW(BCKetQuaHoatDong_06028!#REF!),",","'ColDynamic':",COLUMN(BCKetQuaHoatDong_06028!#REF!),",","'RowDynamic':",ROW(BCKetQuaHoatDong_06028!#REF!),",","'Format':'numberic'",",'Value':'",SUBSTITUTE(BCKetQuaHoatDong_06028!#REF!,"'","\'"),"','TargetCode':''}")</f>
        <v>#REF!</v>
      </c>
    </row>
    <row r="223" spans="1:1" x14ac:dyDescent="0.2">
      <c r="A223" t="e">
        <f>CONCATENATE("{'SheetId':'9e57442d-faa2-4732-bfe8-6082c7f4cc3b'",",","'UId':'bfe9ffac-8ec1-40e3-88fa-42f3638e20c8'",",'Col':",COLUMN(BCKetQuaHoatDong_06028!#REF!),",'Row':",ROW(BCKetQuaHoatDong_06028!#REF!),",","'ColDynamic':",COLUMN(BCKetQuaHoatDong_06028!#REF!),",","'RowDynamic':",ROW(BCKetQuaHoatDong_06028!#REF!),",","'Format':'numberic'",",'Value':'",SUBSTITUTE(BCKetQuaHoatDong_06028!#REF!,"'","\'"),"','TargetCode':''}")</f>
        <v>#REF!</v>
      </c>
    </row>
    <row r="224" spans="1:1" x14ac:dyDescent="0.2">
      <c r="A224" t="e">
        <f>CONCATENATE("{'SheetId':'9e57442d-faa2-4732-bfe8-6082c7f4cc3b'",",","'UId':'11038476-613e-43a0-89c3-f961b68ecf32'",",'Col':",COLUMN(BCKetQuaHoatDong_06028!#REF!),",'Row':",ROW(BCKetQuaHoatDong_06028!#REF!),",","'ColDynamic':",COLUMN(BCKetQuaHoatDong_06028!#REF!),",","'RowDynamic':",ROW(BCKetQuaHoatDong_06028!#REF!),",","'Format':'numberic'",",'Value':'",SUBSTITUTE(BCKetQuaHoatDong_06028!#REF!,"'","\'"),"','TargetCode':''}")</f>
        <v>#REF!</v>
      </c>
    </row>
    <row r="225" spans="1:1" x14ac:dyDescent="0.2">
      <c r="A225" t="e">
        <f>CONCATENATE("{'SheetId':'9e57442d-faa2-4732-bfe8-6082c7f4cc3b'",",","'UId':'be7b669c-6e76-4b2f-a0fb-92dcbf45e626'",",'Col':",COLUMN(BCKetQuaHoatDong_06028!#REF!),",'Row':",ROW(BCKetQuaHoatDong_06028!#REF!),",","'ColDynamic':",COLUMN(BCKetQuaHoatDong_06028!#REF!),",","'RowDynamic':",ROW(BCKetQuaHoatDong_06028!#REF!),",","'Format':'numberic'",",'Value':'",SUBSTITUTE(BCKetQuaHoatDong_06028!#REF!,"'","\'"),"','TargetCode':''}")</f>
        <v>#REF!</v>
      </c>
    </row>
    <row r="226" spans="1:1" x14ac:dyDescent="0.2">
      <c r="A226" t="e">
        <f>CONCATENATE("{'SheetId':'9e57442d-faa2-4732-bfe8-6082c7f4cc3b'",",","'UId':'a2f958ce-55fd-4741-a0a1-bdcf0dd1c8ec'",",'Col':",COLUMN(BCKetQuaHoatDong_06028!#REF!),",'Row':",ROW(BCKetQuaHoatDong_06028!#REF!),",","'Format':'numberic'",",'Value':'",SUBSTITUTE(BCKetQuaHoatDong_06028!#REF!,"'","\'"),"','TargetCode':''}")</f>
        <v>#REF!</v>
      </c>
    </row>
    <row r="227" spans="1:1" x14ac:dyDescent="0.2">
      <c r="A227" t="e">
        <f>CONCATENATE("{'SheetId':'9e57442d-faa2-4732-bfe8-6082c7f4cc3b'",",","'UId':'393bdfde-2176-402e-9b16-331c74ac5995'",",'Col':",COLUMN(BCKetQuaHoatDong_06028!#REF!),",'Row':",ROW(BCKetQuaHoatDong_06028!#REF!),",","'Format':'numberic'",",'Value':'",SUBSTITUTE(BCKetQuaHoatDong_06028!#REF!,"'","\'"),"','TargetCode':''}")</f>
        <v>#REF!</v>
      </c>
    </row>
    <row r="228" spans="1:1" x14ac:dyDescent="0.2">
      <c r="A228" t="e">
        <f>CONCATENATE("{'SheetId':'9e57442d-faa2-4732-bfe8-6082c7f4cc3b'",",","'UId':'61a21fd4-9c85-4c00-b1f5-a006461b16c9'",",'Col':",COLUMN(BCKetQuaHoatDong_06028!#REF!),",'Row':",ROW(BCKetQuaHoatDong_06028!#REF!),",","'Format':'numberic'",",'Value':'",SUBSTITUTE(BCKetQuaHoatDong_06028!#REF!,"'","\'"),"','TargetCode':''}")</f>
        <v>#REF!</v>
      </c>
    </row>
    <row r="229" spans="1:1" x14ac:dyDescent="0.2">
      <c r="A229" t="e">
        <f>CONCATENATE("{'SheetId':'9e57442d-faa2-4732-bfe8-6082c7f4cc3b'",",","'UId':'b0668875-2953-4f6b-9456-7589822bd4fe'",",'Col':",COLUMN(BCKetQuaHoatDong_06028!#REF!),",'Row':",ROW(BCKetQuaHoatDong_06028!#REF!),",","'ColDynamic':",COLUMN(BCKetQuaHoatDong_06028!#REF!),",","'RowDynamic':",ROW(BCKetQuaHoatDong_06028!#REF!),",","'Format':'numberic'",",'Value':'",SUBSTITUTE(BCKetQuaHoatDong_06028!#REF!,"'","\'"),"','TargetCode':''}")</f>
        <v>#REF!</v>
      </c>
    </row>
    <row r="230" spans="1:1" x14ac:dyDescent="0.2">
      <c r="A230" t="e">
        <f>CONCATENATE("{'SheetId':'9e57442d-faa2-4732-bfe8-6082c7f4cc3b'",",","'UId':'61456a65-5569-4084-b598-c739d0fdc8a5'",",'Col':",COLUMN(BCKetQuaHoatDong_06028!#REF!),",'Row':",ROW(BCKetQuaHoatDong_06028!#REF!),",","'ColDynamic':",COLUMN(BCKetQuaHoatDong_06028!#REF!),",","'RowDynamic':",ROW(BCKetQuaHoatDong_06028!#REF!),",","'Format':'string'",",'Value':'",SUBSTITUTE(BCKetQuaHoatDong_06028!#REF!,"'","\'"),"','TargetCode':''}")</f>
        <v>#REF!</v>
      </c>
    </row>
    <row r="231" spans="1:1" x14ac:dyDescent="0.2">
      <c r="A231" t="e">
        <f>CONCATENATE("{'SheetId':'9e57442d-faa2-4732-bfe8-6082c7f4cc3b'",",","'UId':'6c51844e-8fc8-4ebd-89c8-c19634d8f6d9'",",'Col':",COLUMN(BCKetQuaHoatDong_06028!#REF!),",'Row':",ROW(BCKetQuaHoatDong_06028!#REF!),",","'ColDynamic':",COLUMN(BCKetQuaHoatDong_06028!#REF!),",","'RowDynamic':",ROW(BCKetQuaHoatDong_06028!#REF!),",","'Format':'numberic'",",'Value':'",SUBSTITUTE(BCKetQuaHoatDong_06028!#REF!,"'","\'"),"','TargetCode':''}")</f>
        <v>#REF!</v>
      </c>
    </row>
    <row r="232" spans="1:1" x14ac:dyDescent="0.2">
      <c r="A232" t="e">
        <f>CONCATENATE("{'SheetId':'9e57442d-faa2-4732-bfe8-6082c7f4cc3b'",",","'UId':'0e840f2a-55e8-472f-90c2-7a2142459c27'",",'Col':",COLUMN(BCKetQuaHoatDong_06028!#REF!),",'Row':",ROW(BCKetQuaHoatDong_06028!#REF!),",","'ColDynamic':",COLUMN(BCKetQuaHoatDong_06028!#REF!),",","'RowDynamic':",ROW(BCKetQuaHoatDong_06028!#REF!),",","'Format':'numberic'",",'Value':'",SUBSTITUTE(BCKetQuaHoatDong_06028!#REF!,"'","\'"),"','TargetCode':''}")</f>
        <v>#REF!</v>
      </c>
    </row>
    <row r="233" spans="1:1" x14ac:dyDescent="0.2">
      <c r="A233" t="e">
        <f>CONCATENATE("{'SheetId':'9e57442d-faa2-4732-bfe8-6082c7f4cc3b'",",","'UId':'102a2de3-8caa-495e-9317-436f7a11d50b'",",'Col':",COLUMN(BCKetQuaHoatDong_06028!#REF!),",'Row':",ROW(BCKetQuaHoatDong_06028!#REF!),",","'ColDynamic':",COLUMN(BCKetQuaHoatDong_06028!#REF!),",","'RowDynamic':",ROW(BCKetQuaHoatDong_06028!#REF!),",","'Format':'numberic'",",'Value':'",SUBSTITUTE(BCKetQuaHoatDong_06028!#REF!,"'","\'"),"','TargetCode':''}")</f>
        <v>#REF!</v>
      </c>
    </row>
    <row r="234" spans="1:1" x14ac:dyDescent="0.2">
      <c r="A234" t="e">
        <f>CONCATENATE("{'SheetId':'9e57442d-faa2-4732-bfe8-6082c7f4cc3b'",",","'UId':'35f3ea0a-83d0-4be4-b861-05d6ff252f97'",",'Col':",COLUMN(BCKetQuaHoatDong_06028!#REF!),",'Row':",ROW(BCKetQuaHoatDong_06028!#REF!),",","'ColDynamic':",COLUMN(BCKetQuaHoatDong_06028!#REF!),",","'RowDynamic':",ROW(BCKetQuaHoatDong_06028!#REF!),",","'Format':'numberic'",",'Value':'",SUBSTITUTE(BCKetQuaHoatDong_06028!#REF!,"'","\'"),"','TargetCode':''}")</f>
        <v>#REF!</v>
      </c>
    </row>
    <row r="235" spans="1:1" x14ac:dyDescent="0.2">
      <c r="A235" t="e">
        <f>CONCATENATE("{'SheetId':'9e57442d-faa2-4732-bfe8-6082c7f4cc3b'",",","'UId':'c95f90f6-640a-4331-b0e8-54422c753940'",",'Col':",COLUMN(BCKetQuaHoatDong_06028!#REF!),",'Row':",ROW(BCKetQuaHoatDong_06028!#REF!),",","'Format':'numberic'",",'Value':'",SUBSTITUTE(BCKetQuaHoatDong_06028!#REF!,"'","\'"),"','TargetCode':''}")</f>
        <v>#REF!</v>
      </c>
    </row>
    <row r="236" spans="1:1" x14ac:dyDescent="0.2">
      <c r="A236" t="e">
        <f>CONCATENATE("{'SheetId':'9e57442d-faa2-4732-bfe8-6082c7f4cc3b'",",","'UId':'19caeda8-1e5a-4518-8250-4c15acb82c48'",",'Col':",COLUMN(BCKetQuaHoatDong_06028!#REF!),",'Row':",ROW(BCKetQuaHoatDong_06028!#REF!),",","'Format':'numberic'",",'Value':'",SUBSTITUTE(BCKetQuaHoatDong_06028!#REF!,"'","\'"),"','TargetCode':''}")</f>
        <v>#REF!</v>
      </c>
    </row>
    <row r="237" spans="1:1" x14ac:dyDescent="0.2">
      <c r="A237" t="e">
        <f>CONCATENATE("{'SheetId':'9e57442d-faa2-4732-bfe8-6082c7f4cc3b'",",","'UId':'d743182c-5853-46f3-8604-ad3aa58840b8'",",'Col':",COLUMN(BCKetQuaHoatDong_06028!#REF!),",'Row':",ROW(BCKetQuaHoatDong_06028!#REF!),",","'Format':'numberic'",",'Value':'",SUBSTITUTE(BCKetQuaHoatDong_06028!#REF!,"'","\'"),"','TargetCode':''}")</f>
        <v>#REF!</v>
      </c>
    </row>
    <row r="238" spans="1:1" x14ac:dyDescent="0.2">
      <c r="A238" t="e">
        <f>CONCATENATE("{'SheetId':'9e57442d-faa2-4732-bfe8-6082c7f4cc3b'",",","'UId':'5fb4cc84-0a90-4cae-ba19-392c839af798'",",'Col':",COLUMN(BCKetQuaHoatDong_06028!#REF!),",'Row':",ROW(BCKetQuaHoatDong_06028!#REF!),",","'Format':'numberic'",",'Value':'",SUBSTITUTE(BCKetQuaHoatDong_06028!#REF!,"'","\'"),"','TargetCode':''}")</f>
        <v>#REF!</v>
      </c>
    </row>
    <row r="239" spans="1:1" x14ac:dyDescent="0.2">
      <c r="A239" t="e">
        <f>CONCATENATE("{'SheetId':'9e57442d-faa2-4732-bfe8-6082c7f4cc3b'",",","'UId':'c14dbefc-c01b-44b0-a577-6f17c0396290'",",'Col':",COLUMN(BCKetQuaHoatDong_06028!#REF!),",'Row':",ROW(BCKetQuaHoatDong_06028!#REF!),",","'Format':'numberic'",",'Value':'",SUBSTITUTE(BCKetQuaHoatDong_06028!#REF!,"'","\'"),"','TargetCode':''}")</f>
        <v>#REF!</v>
      </c>
    </row>
    <row r="240" spans="1:1" x14ac:dyDescent="0.2">
      <c r="A240" t="e">
        <f>CONCATENATE("{'SheetId':'9e57442d-faa2-4732-bfe8-6082c7f4cc3b'",",","'UId':'d1eb0ab7-7a60-49c8-b8aa-39c894436edb'",",'Col':",COLUMN(BCKetQuaHoatDong_06028!#REF!),",'Row':",ROW(BCKetQuaHoatDong_06028!#REF!),",","'Format':'numberic'",",'Value':'",SUBSTITUTE(BCKetQuaHoatDong_06028!#REF!,"'","\'"),"','TargetCode':''}")</f>
        <v>#REF!</v>
      </c>
    </row>
    <row r="241" spans="1:1" x14ac:dyDescent="0.2">
      <c r="A241" t="e">
        <f>CONCATENATE("{'SheetId':'9e57442d-faa2-4732-bfe8-6082c7f4cc3b'",",","'UId':'7dc5398f-c841-400c-850b-875a5c468e05'",",'Col':",COLUMN(BCKetQuaHoatDong_06028!#REF!),",'Row':",ROW(BCKetQuaHoatDong_06028!#REF!),",","'Format':'numberic'",",'Value':'",SUBSTITUTE(BCKetQuaHoatDong_06028!#REF!,"'","\'"),"','TargetCode':''}")</f>
        <v>#REF!</v>
      </c>
    </row>
    <row r="242" spans="1:1" x14ac:dyDescent="0.2">
      <c r="A242" t="e">
        <f>CONCATENATE("{'SheetId':'9e57442d-faa2-4732-bfe8-6082c7f4cc3b'",",","'UId':'fa4fb11d-bd81-48b0-9ef6-a4ff2cd9d48a'",",'Col':",COLUMN(BCKetQuaHoatDong_06028!#REF!),",'Row':",ROW(BCKetQuaHoatDong_06028!#REF!),",","'Format':'numberic'",",'Value':'",SUBSTITUTE(BCKetQuaHoatDong_06028!#REF!,"'","\'"),"','TargetCode':''}")</f>
        <v>#REF!</v>
      </c>
    </row>
    <row r="243" spans="1:1" x14ac:dyDescent="0.2">
      <c r="A243" t="e">
        <f>CONCATENATE("{'SheetId':'9e57442d-faa2-4732-bfe8-6082c7f4cc3b'",",","'UId':'73bb9d14-e1ea-4394-a083-b8a649641cf9'",",'Col':",COLUMN(BCKetQuaHoatDong_06028!#REF!),",'Row':",ROW(BCKetQuaHoatDong_06028!#REF!),",","'Format':'numberic'",",'Value':'",SUBSTITUTE(BCKetQuaHoatDong_06028!#REF!,"'","\'"),"','TargetCode':''}")</f>
        <v>#REF!</v>
      </c>
    </row>
    <row r="244" spans="1:1" x14ac:dyDescent="0.2">
      <c r="A244" t="e">
        <f>CONCATENATE("{'SheetId':'9e57442d-faa2-4732-bfe8-6082c7f4cc3b'",",","'UId':'bab2e1a7-20d5-41fd-881b-9a21514bfc4f'",",'Col':",COLUMN(BCKetQuaHoatDong_06028!#REF!),",'Row':",ROW(BCKetQuaHoatDong_06028!#REF!),",","'Format':'numberic'",",'Value':'",SUBSTITUTE(BCKetQuaHoatDong_06028!#REF!,"'","\'"),"','TargetCode':''}")</f>
        <v>#REF!</v>
      </c>
    </row>
    <row r="245" spans="1:1" x14ac:dyDescent="0.2">
      <c r="A245" t="e">
        <f>CONCATENATE("{'SheetId':'9e57442d-faa2-4732-bfe8-6082c7f4cc3b'",",","'UId':'128100c2-b671-4904-a5a9-41069ed12784'",",'Col':",COLUMN(BCKetQuaHoatDong_06028!#REF!),",'Row':",ROW(BCKetQuaHoatDong_06028!#REF!),",","'Format':'numberic'",",'Value':'",SUBSTITUTE(BCKetQuaHoatDong_06028!#REF!,"'","\'"),"','TargetCode':''}")</f>
        <v>#REF!</v>
      </c>
    </row>
    <row r="246" spans="1:1" x14ac:dyDescent="0.2">
      <c r="A246" t="e">
        <f>CONCATENATE("{'SheetId':'9e57442d-faa2-4732-bfe8-6082c7f4cc3b'",",","'UId':'04b06e65-b2eb-4858-bb0b-d72c0270f1f6'",",'Col':",COLUMN(BCKetQuaHoatDong_06028!#REF!),",'Row':",ROW(BCKetQuaHoatDong_06028!#REF!),",","'Format':'numberic'",",'Value':'",SUBSTITUTE(BCKetQuaHoatDong_06028!#REF!,"'","\'"),"','TargetCode':''}")</f>
        <v>#REF!</v>
      </c>
    </row>
    <row r="247" spans="1:1" x14ac:dyDescent="0.2">
      <c r="A247" t="e">
        <f>CONCATENATE("{'SheetId':'9e57442d-faa2-4732-bfe8-6082c7f4cc3b'",",","'UId':'0c34f541-ad2d-4bff-9fce-284295e89335'",",'Col':",COLUMN(BCKetQuaHoatDong_06028!#REF!),",'Row':",ROW(BCKetQuaHoatDong_06028!#REF!),",","'Format':'numberic'",",'Value':'",SUBSTITUTE(BCKetQuaHoatDong_06028!#REF!,"'","\'"),"','TargetCode':''}")</f>
        <v>#REF!</v>
      </c>
    </row>
    <row r="248" spans="1:1" x14ac:dyDescent="0.2">
      <c r="A248" t="e">
        <f>CONCATENATE("{'SheetId':'9e57442d-faa2-4732-bfe8-6082c7f4cc3b'",",","'UId':'a1069390-e9a5-41a9-8d0c-f5931f68451d'",",'Col':",COLUMN(BCKetQuaHoatDong_06028!#REF!),",'Row':",ROW(BCKetQuaHoatDong_06028!#REF!),",","'Format':'numberic'",",'Value':'",SUBSTITUTE(BCKetQuaHoatDong_06028!#REF!,"'","\'"),"','TargetCode':''}")</f>
        <v>#REF!</v>
      </c>
    </row>
    <row r="249" spans="1:1" x14ac:dyDescent="0.2">
      <c r="A249" t="e">
        <f>CONCATENATE("{'SheetId':'9e57442d-faa2-4732-bfe8-6082c7f4cc3b'",",","'UId':'943a903f-8f0c-48d3-9a7d-d0f797c51f06'",",'Col':",COLUMN(BCKetQuaHoatDong_06028!#REF!),",'Row':",ROW(BCKetQuaHoatDong_06028!#REF!),",","'Format':'numberic'",",'Value':'",SUBSTITUTE(BCKetQuaHoatDong_06028!#REF!,"'","\'"),"','TargetCode':''}")</f>
        <v>#REF!</v>
      </c>
    </row>
    <row r="250" spans="1:1" x14ac:dyDescent="0.2">
      <c r="A250" t="e">
        <f>CONCATENATE("{'SheetId':'9e57442d-faa2-4732-bfe8-6082c7f4cc3b'",",","'UId':'14ba2d4e-fc98-469f-8702-009a93d663bf'",",'Col':",COLUMN(BCKetQuaHoatDong_06028!#REF!),",'Row':",ROW(BCKetQuaHoatDong_06028!#REF!),",","'Format':'numberic'",",'Value':'",SUBSTITUTE(BCKetQuaHoatDong_06028!#REF!,"'","\'"),"','TargetCode':''}")</f>
        <v>#REF!</v>
      </c>
    </row>
    <row r="251" spans="1:1" x14ac:dyDescent="0.2">
      <c r="A251" t="e">
        <f>CONCATENATE("{'SheetId':'9e57442d-faa2-4732-bfe8-6082c7f4cc3b'",",","'UId':'46dc8404-c63b-42c5-af20-35a421a3b5ab'",",'Col':",COLUMN(BCKetQuaHoatDong_06028!#REF!),",'Row':",ROW(BCKetQuaHoatDong_06028!#REF!),",","'Format':'numberic'",",'Value':'",SUBSTITUTE(BCKetQuaHoatDong_06028!#REF!,"'","\'"),"','TargetCode':''}")</f>
        <v>#REF!</v>
      </c>
    </row>
    <row r="252" spans="1:1" x14ac:dyDescent="0.2">
      <c r="A252" t="e">
        <f>CONCATENATE("{'SheetId':'9e57442d-faa2-4732-bfe8-6082c7f4cc3b'",",","'UId':'a1137c7a-72fe-4907-952f-0a4daf353a5c'",",'Col':",COLUMN(BCKetQuaHoatDong_06028!#REF!),",'Row':",ROW(BCKetQuaHoatDong_06028!#REF!),",","'Format':'numberic'",",'Value':'",SUBSTITUTE(BCKetQuaHoatDong_06028!#REF!,"'","\'"),"','TargetCode':''}")</f>
        <v>#REF!</v>
      </c>
    </row>
    <row r="253" spans="1:1" x14ac:dyDescent="0.2">
      <c r="A253" t="e">
        <f>CONCATENATE("{'SheetId':'9e57442d-faa2-4732-bfe8-6082c7f4cc3b'",",","'UId':'ae182ae4-ecb8-4b3e-87b1-02fe2b8c8c6e'",",'Col':",COLUMN(BCKetQuaHoatDong_06028!#REF!),",'Row':",ROW(BCKetQuaHoatDong_06028!#REF!),",","'Format':'numberic'",",'Value':'",SUBSTITUTE(BCKetQuaHoatDong_06028!#REF!,"'","\'"),"','TargetCode':''}")</f>
        <v>#REF!</v>
      </c>
    </row>
    <row r="254" spans="1:1" x14ac:dyDescent="0.2">
      <c r="A254" t="e">
        <f>CONCATENATE("{'SheetId':'9e57442d-faa2-4732-bfe8-6082c7f4cc3b'",",","'UId':'c7c70708-3a08-4a71-8b5b-958036d28d83'",",'Col':",COLUMN(BCKetQuaHoatDong_06028!#REF!),",'Row':",ROW(BCKetQuaHoatDong_06028!#REF!),",","'Format':'numberic'",",'Value':'",SUBSTITUTE(BCKetQuaHoatDong_06028!#REF!,"'","\'"),"','TargetCode':''}")</f>
        <v>#REF!</v>
      </c>
    </row>
    <row r="255" spans="1:1" x14ac:dyDescent="0.2">
      <c r="A255" t="e">
        <f>CONCATENATE("{'SheetId':'9e57442d-faa2-4732-bfe8-6082c7f4cc3b'",",","'UId':'b56d1f06-ac4a-4581-bd76-0a7116bb9601'",",'Col':",COLUMN(BCKetQuaHoatDong_06028!#REF!),",'Row':",ROW(BCKetQuaHoatDong_06028!#REF!),",","'Format':'numberic'",",'Value':'",SUBSTITUTE(BCKetQuaHoatDong_06028!#REF!,"'","\'"),"','TargetCode':''}")</f>
        <v>#REF!</v>
      </c>
    </row>
    <row r="256" spans="1:1" x14ac:dyDescent="0.2">
      <c r="A256" t="e">
        <f>CONCATENATE("{'SheetId':'9e57442d-faa2-4732-bfe8-6082c7f4cc3b'",",","'UId':'071f8b6b-411a-4479-a1e0-68ae4989d4d4'",",'Col':",COLUMN(BCKetQuaHoatDong_06028!#REF!),",'Row':",ROW(BCKetQuaHoatDong_06028!#REF!),",","'Format':'numberic'",",'Value':'",SUBSTITUTE(BCKetQuaHoatDong_06028!#REF!,"'","\'"),"','TargetCode':''}")</f>
        <v>#REF!</v>
      </c>
    </row>
    <row r="257" spans="1:1" x14ac:dyDescent="0.2">
      <c r="A257" t="e">
        <f>CONCATENATE("{'SheetId':'9e57442d-faa2-4732-bfe8-6082c7f4cc3b'",",","'UId':'649fe867-7540-4d27-809f-914ad09af55e'",",'Col':",COLUMN(BCKetQuaHoatDong_06028!#REF!),",'Row':",ROW(BCKetQuaHoatDong_06028!#REF!),",","'Format':'numberic'",",'Value':'",SUBSTITUTE(BCKetQuaHoatDong_06028!#REF!,"'","\'"),"','TargetCode':''}")</f>
        <v>#REF!</v>
      </c>
    </row>
    <row r="258" spans="1:1" x14ac:dyDescent="0.2">
      <c r="A258" t="e">
        <f>CONCATENATE("{'SheetId':'9e57442d-faa2-4732-bfe8-6082c7f4cc3b'",",","'UId':'ce2f8942-9d48-4663-bc86-864ddeb2e9fb'",",'Col':",COLUMN(BCKetQuaHoatDong_06028!#REF!),",'Row':",ROW(BCKetQuaHoatDong_06028!#REF!),",","'Format':'numberic'",",'Value':'",SUBSTITUTE(BCKetQuaHoatDong_06028!#REF!,"'","\'"),"','TargetCode':''}")</f>
        <v>#REF!</v>
      </c>
    </row>
    <row r="259" spans="1:1" x14ac:dyDescent="0.2">
      <c r="A259" t="e">
        <f>CONCATENATE("{'SheetId':'9e57442d-faa2-4732-bfe8-6082c7f4cc3b'",",","'UId':'da1428fc-0129-48bd-9cae-bcdc3527e7ff'",",'Col':",COLUMN(BCKetQuaHoatDong_06028!#REF!),",'Row':",ROW(BCKetQuaHoatDong_06028!#REF!),",","'Format':'numberic'",",'Value':'",SUBSTITUTE(BCKetQuaHoatDong_06028!#REF!,"'","\'"),"','TargetCode':''}")</f>
        <v>#REF!</v>
      </c>
    </row>
    <row r="260" spans="1:1" x14ac:dyDescent="0.2">
      <c r="A260" t="e">
        <f>CONCATENATE("{'SheetId':'9e57442d-faa2-4732-bfe8-6082c7f4cc3b'",",","'UId':'e59bf9b3-105f-46b2-a4c4-386837875fff'",",'Col':",COLUMN(BCKetQuaHoatDong_06028!#REF!),",'Row':",ROW(BCKetQuaHoatDong_06028!#REF!),",","'Format':'numberic'",",'Value':'",SUBSTITUTE(BCKetQuaHoatDong_06028!#REF!,"'","\'"),"','TargetCode':''}")</f>
        <v>#REF!</v>
      </c>
    </row>
    <row r="261" spans="1:1" x14ac:dyDescent="0.2">
      <c r="A261" t="e">
        <f>CONCATENATE("{'SheetId':'9e57442d-faa2-4732-bfe8-6082c7f4cc3b'",",","'UId':'190b7595-8f9e-458d-8990-f4ff2e021104'",",'Col':",COLUMN(BCKetQuaHoatDong_06028!#REF!),",'Row':",ROW(BCKetQuaHoatDong_06028!#REF!),",","'Format':'numberic'",",'Value':'",SUBSTITUTE(BCKetQuaHoatDong_06028!#REF!,"'","\'"),"','TargetCode':''}")</f>
        <v>#REF!</v>
      </c>
    </row>
    <row r="262" spans="1:1" x14ac:dyDescent="0.2">
      <c r="A262" t="e">
        <f>CONCATENATE("{'SheetId':'9e57442d-faa2-4732-bfe8-6082c7f4cc3b'",",","'UId':'26da4aec-6928-4f66-88a5-fdfd0ee643e5'",",'Col':",COLUMN(BCKetQuaHoatDong_06028!#REF!),",'Row':",ROW(BCKetQuaHoatDong_06028!#REF!),",","'Format':'numberic'",",'Value':'",SUBSTITUTE(BCKetQuaHoatDong_06028!#REF!,"'","\'"),"','TargetCode':''}")</f>
        <v>#REF!</v>
      </c>
    </row>
    <row r="263" spans="1:1" x14ac:dyDescent="0.2">
      <c r="A263" t="e">
        <f>CONCATENATE("{'SheetId':'9e57442d-faa2-4732-bfe8-6082c7f4cc3b'",",","'UId':'9b98b4cd-1dc6-4f10-9fcd-3b02154fc346'",",'Col':",COLUMN(BCKetQuaHoatDong_06028!#REF!),",'Row':",ROW(BCKetQuaHoatDong_06028!#REF!),",","'Format':'numberic'",",'Value':'",SUBSTITUTE(BCKetQuaHoatDong_06028!#REF!,"'","\'"),"','TargetCode':''}")</f>
        <v>#REF!</v>
      </c>
    </row>
    <row r="264" spans="1:1" x14ac:dyDescent="0.2">
      <c r="A264" t="e">
        <f>CONCATENATE("{'SheetId':'9e57442d-faa2-4732-bfe8-6082c7f4cc3b'",",","'UId':'ab589e24-1208-4602-83e1-3b0d9a9ddac2'",",'Col':",COLUMN(BCKetQuaHoatDong_06028!#REF!),",'Row':",ROW(BCKetQuaHoatDong_06028!#REF!),",","'Format':'numberic'",",'Value':'",SUBSTITUTE(BCKetQuaHoatDong_06028!#REF!,"'","\'"),"','TargetCode':''}")</f>
        <v>#REF!</v>
      </c>
    </row>
    <row r="265" spans="1:1" x14ac:dyDescent="0.2">
      <c r="A265" t="e">
        <f>CONCATENATE("{'SheetId':'9e57442d-faa2-4732-bfe8-6082c7f4cc3b'",",","'UId':'a1e12271-7d9c-46e1-be1f-d3831e97dba6'",",'Col':",COLUMN(BCKetQuaHoatDong_06028!#REF!),",'Row':",ROW(BCKetQuaHoatDong_06028!#REF!),",","'Format':'numberic'",",'Value':'",SUBSTITUTE(BCKetQuaHoatDong_06028!#REF!,"'","\'"),"','TargetCode':''}")</f>
        <v>#REF!</v>
      </c>
    </row>
    <row r="266" spans="1:1" x14ac:dyDescent="0.2">
      <c r="A266" t="e">
        <f>CONCATENATE("{'SheetId':'9e57442d-faa2-4732-bfe8-6082c7f4cc3b'",",","'UId':'85d94755-db4c-439e-8336-6cbb28df62be'",",'Col':",COLUMN(BCKetQuaHoatDong_06028!#REF!),",'Row':",ROW(BCKetQuaHoatDong_06028!#REF!),",","'Format':'numberic'",",'Value':'",SUBSTITUTE(BCKetQuaHoatDong_06028!#REF!,"'","\'"),"','TargetCode':''}")</f>
        <v>#REF!</v>
      </c>
    </row>
    <row r="267" spans="1:1" x14ac:dyDescent="0.2">
      <c r="A267" t="e">
        <f>CONCATENATE("{'SheetId':'9e57442d-faa2-4732-bfe8-6082c7f4cc3b'",",","'UId':'d8a625ed-973b-4579-990b-8dd486f640c5'",",'Col':",COLUMN(BCKetQuaHoatDong_06028!#REF!),",'Row':",ROW(BCKetQuaHoatDong_06028!#REF!),",","'Format':'numberic'",",'Value':'",SUBSTITUTE(BCKetQuaHoatDong_06028!#REF!,"'","\'"),"','TargetCode':''}")</f>
        <v>#REF!</v>
      </c>
    </row>
    <row r="268" spans="1:1" x14ac:dyDescent="0.2">
      <c r="A268" t="e">
        <f>CONCATENATE("{'SheetId':'9e57442d-faa2-4732-bfe8-6082c7f4cc3b'",",","'UId':'913a97b8-0f0a-4141-8c25-d538ceaee879'",",'Col':",COLUMN(BCKetQuaHoatDong_06028!#REF!),",'Row':",ROW(BCKetQuaHoatDong_06028!#REF!),",","'Format':'numberic'",",'Value':'",SUBSTITUTE(BCKetQuaHoatDong_06028!#REF!,"'","\'"),"','TargetCode':''}")</f>
        <v>#REF!</v>
      </c>
    </row>
    <row r="269" spans="1:1" x14ac:dyDescent="0.2">
      <c r="A269" t="e">
        <f>CONCATENATE("{'SheetId':'9e57442d-faa2-4732-bfe8-6082c7f4cc3b'",",","'UId':'e496ef7d-483e-4b9a-88df-8925231821da'",",'Col':",COLUMN(BCKetQuaHoatDong_06028!#REF!),",'Row':",ROW(BCKetQuaHoatDong_06028!#REF!),",","'Format':'numberic'",",'Value':'",SUBSTITUTE(BCKetQuaHoatDong_06028!#REF!,"'","\'"),"','TargetCode':''}")</f>
        <v>#REF!</v>
      </c>
    </row>
    <row r="270" spans="1:1" x14ac:dyDescent="0.2">
      <c r="A270" t="e">
        <f>CONCATENATE("{'SheetId':'9e57442d-faa2-4732-bfe8-6082c7f4cc3b'",",","'UId':'3412402c-2226-4951-a761-60259d131db2'",",'Col':",COLUMN(BCKetQuaHoatDong_06028!#REF!),",'Row':",ROW(BCKetQuaHoatDong_06028!#REF!),",","'Format':'numberic'",",'Value':'",SUBSTITUTE(BCKetQuaHoatDong_06028!#REF!,"'","\'"),"','TargetCode':''}")</f>
        <v>#REF!</v>
      </c>
    </row>
    <row r="271" spans="1:1" x14ac:dyDescent="0.2">
      <c r="A271" t="e">
        <f>CONCATENATE("{'SheetId':'9e57442d-faa2-4732-bfe8-6082c7f4cc3b'",",","'UId':'60a8eff8-ff29-4438-9df1-7fcd50284081'",",'Col':",COLUMN(BCKetQuaHoatDong_06028!#REF!),",'Row':",ROW(BCKetQuaHoatDong_06028!#REF!),",","'Format':'numberic'",",'Value':'",SUBSTITUTE(BCKetQuaHoatDong_06028!#REF!,"'","\'"),"','TargetCode':''}")</f>
        <v>#REF!</v>
      </c>
    </row>
    <row r="272" spans="1:1" x14ac:dyDescent="0.2">
      <c r="A272" t="e">
        <f>CONCATENATE("{'SheetId':'9e57442d-faa2-4732-bfe8-6082c7f4cc3b'",",","'UId':'e5334a5f-5783-46c1-8b37-fe7861d211a0'",",'Col':",COLUMN(BCKetQuaHoatDong_06028!#REF!),",'Row':",ROW(BCKetQuaHoatDong_06028!#REF!),",","'Format':'numberic'",",'Value':'",SUBSTITUTE(BCKetQuaHoatDong_06028!#REF!,"'","\'"),"','TargetCode':''}")</f>
        <v>#REF!</v>
      </c>
    </row>
    <row r="273" spans="1:1" x14ac:dyDescent="0.2">
      <c r="A273" t="e">
        <f>CONCATENATE("{'SheetId':'9e57442d-faa2-4732-bfe8-6082c7f4cc3b'",",","'UId':'320effb9-3358-4bf4-91c8-6de1f9e55f08'",",'Col':",COLUMN(BCKetQuaHoatDong_06028!#REF!),",'Row':",ROW(BCKetQuaHoatDong_06028!#REF!),",","'Format':'numberic'",",'Value':'",SUBSTITUTE(BCKetQuaHoatDong_06028!#REF!,"'","\'"),"','TargetCode':''}")</f>
        <v>#REF!</v>
      </c>
    </row>
    <row r="274" spans="1:1" x14ac:dyDescent="0.2">
      <c r="A274" t="e">
        <f>CONCATENATE("{'SheetId':'1deb9a6e-dc5a-4908-87cc-034ee9747e20'",",","'UId':'d662ebdc-77a2-4ae7-87c9-b775bb22e4ed'",",'Col':",COLUMN(BCDanhMucDauTu_06029!#REF!),",'Row':",ROW(BCDanhMucDauTu_06029!#REF!),",","'ColDynamic':",COLUMN(BCDanhMucDauTu_06029!#REF!),",","'RowDynamic':",ROW(BCDanhMucDauTu_06029!#REF!),",","'Format':'string'",",'Value':'",SUBSTITUTE(BCDanhMucDauTu_06029!#REF!,"'","\'"),"','TargetCode':''}")</f>
        <v>#REF!</v>
      </c>
    </row>
    <row r="275" spans="1:1" x14ac:dyDescent="0.2">
      <c r="A275" t="e">
        <f>CONCATENATE("{'SheetId':'1deb9a6e-dc5a-4908-87cc-034ee9747e20'",",","'UId':'f2511281-2688-4070-be79-1d36cd04479b'",",'Col':",COLUMN(BCDanhMucDauTu_06029!#REF!),",'Row':",ROW(BCDanhMucDauTu_06029!#REF!),",","'ColDynamic':",COLUMN(BCDanhMucDauTu_06029!#REF!),",","'RowDynamic':",ROW(BCDanhMucDauTu_06029!#REF!),",","'Format':'string'",",'Value':'",SUBSTITUTE(BCDanhMucDauTu_06029!#REF!,"'","\'"),"','TargetCode':''}")</f>
        <v>#REF!</v>
      </c>
    </row>
    <row r="276" spans="1:1" x14ac:dyDescent="0.2">
      <c r="A276" t="e">
        <f>CONCATENATE("{'SheetId':'1deb9a6e-dc5a-4908-87cc-034ee9747e20'",",","'UId':'97f24634-5714-4012-9fe2-ba2cbed7eeaa'",",'Col':",COLUMN(BCDanhMucDauTu_06029!#REF!),",'Row':",ROW(BCDanhMucDauTu_06029!#REF!),",","'ColDynamic':",COLUMN(BCDanhMucDauTu_06029!#REF!),",","'RowDynamic':",ROW(BCDanhMucDauTu_06029!#REF!),",","'Format':'string'",",'Value':'",SUBSTITUTE(BCDanhMucDauTu_06029!#REF!,"'","\'"),"','TargetCode':''}")</f>
        <v>#REF!</v>
      </c>
    </row>
    <row r="277" spans="1:1" x14ac:dyDescent="0.2">
      <c r="A277" t="e">
        <f>CONCATENATE("{'SheetId':'1deb9a6e-dc5a-4908-87cc-034ee9747e20'",",","'UId':'7cf7a541-c1af-443f-b187-3cc623bb9abd'",",'Col':",COLUMN(BCDanhMucDauTu_06029!#REF!),",'Row':",ROW(BCDanhMucDauTu_06029!#REF!),",","'ColDynamic':",COLUMN(BCDanhMucDauTu_06029!#REF!),",","'RowDynamic':",ROW(BCDanhMucDauTu_06029!#REF!),",","'Format':'numberic'",",'Value':'",SUBSTITUTE(BCDanhMucDauTu_06029!#REF!,"'","\'"),"','TargetCode':''}")</f>
        <v>#REF!</v>
      </c>
    </row>
    <row r="278" spans="1:1" x14ac:dyDescent="0.2">
      <c r="A278" t="e">
        <f>CONCATENATE("{'SheetId':'1deb9a6e-dc5a-4908-87cc-034ee9747e20'",",","'UId':'c91a2ba4-4e3c-4b10-8f13-26606ae81908'",",'Col':",COLUMN(BCDanhMucDauTu_06029!#REF!),",'Row':",ROW(BCDanhMucDauTu_06029!#REF!),",","'ColDynamic':",COLUMN(BCDanhMucDauTu_06029!#REF!),",","'RowDynamic':",ROW(BCDanhMucDauTu_06029!#REF!),",","'Format':'numberic'",",'Value':'",SUBSTITUTE(BCDanhMucDauTu_06029!#REF!,"'","\'"),"','TargetCode':''}")</f>
        <v>#REF!</v>
      </c>
    </row>
    <row r="279" spans="1:1" x14ac:dyDescent="0.2">
      <c r="A279" t="e">
        <f>CONCATENATE("{'SheetId':'1deb9a6e-dc5a-4908-87cc-034ee9747e20'",",","'UId':'d702a5f4-7749-4e0e-a839-6c9408e37d18'",",'Col':",COLUMN(BCDanhMucDauTu_06029!#REF!),",'Row':",ROW(BCDanhMucDauTu_06029!#REF!),",","'ColDynamic':",COLUMN(BCDanhMucDauTu_06029!#REF!),",","'RowDynamic':",ROW(BCDanhMucDauTu_06029!#REF!),",","'Format':'numberic'",",'Value':'",SUBSTITUTE(BCDanhMucDauTu_06029!#REF!,"'","\'"),"','TargetCode':''}")</f>
        <v>#REF!</v>
      </c>
    </row>
    <row r="280" spans="1:1" x14ac:dyDescent="0.2">
      <c r="A280" t="e">
        <f>CONCATENATE("{'SheetId':'1deb9a6e-dc5a-4908-87cc-034ee9747e20'",",","'UId':'6bffd512-931b-47bb-8be2-63d441dd5920'",",'Col':",COLUMN(BCDanhMucDauTu_06029!#REF!),",'Row':",ROW(BCDanhMucDauTu_06029!#REF!),",","'ColDynamic':",COLUMN(BCDanhMucDauTu_06029!#REF!),",","'RowDynamic':",ROW(BCDanhMucDauTu_06029!#REF!),",","'Format':'numberic'",",'Value':'",SUBSTITUTE(BCDanhMucDauTu_06029!#REF!,"'","\'"),"','TargetCode':''}")</f>
        <v>#REF!</v>
      </c>
    </row>
    <row r="281" spans="1:1" x14ac:dyDescent="0.2">
      <c r="A281" t="e">
        <f>CONCATENATE("{'SheetId':'1deb9a6e-dc5a-4908-87cc-034ee9747e20'",",","'UId':'508a0525-a3f2-4bfe-9e2e-9eefd2d0f393'",",'Col':",COLUMN(BCDanhMucDauTu_06029!#REF!),",'Row':",ROW(BCDanhMucDauTu_06029!#REF!),",","'Format':'numberic'",",'Value':'",SUBSTITUTE(BCDanhMucDauTu_06029!#REF!,"'","\'"),"','TargetCode':''}")</f>
        <v>#REF!</v>
      </c>
    </row>
    <row r="282" spans="1:1" x14ac:dyDescent="0.2">
      <c r="A282" t="e">
        <f>CONCATENATE("{'SheetId':'1deb9a6e-dc5a-4908-87cc-034ee9747e20'",",","'UId':'593fc040-0bb3-4550-8d38-c05ecb047431'",",'Col':",COLUMN(BCDanhMucDauTu_06029!#REF!),",'Row':",ROW(BCDanhMucDauTu_06029!#REF!),",","'Format':'numberic'",",'Value':'",SUBSTITUTE(BCDanhMucDauTu_06029!#REF!,"'","\'"),"','TargetCode':''}")</f>
        <v>#REF!</v>
      </c>
    </row>
    <row r="283" spans="1:1" x14ac:dyDescent="0.2">
      <c r="A283" t="e">
        <f>CONCATENATE("{'SheetId':'1deb9a6e-dc5a-4908-87cc-034ee9747e20'",",","'UId':'539fc2ef-6579-4392-865c-3191779dc7ff'",",'Col':",COLUMN(BCDanhMucDauTu_06029!#REF!),",'Row':",ROW(BCDanhMucDauTu_06029!#REF!),",","'Format':'numberic'",",'Value':'",SUBSTITUTE(BCDanhMucDauTu_06029!#REF!,"'","\'"),"','TargetCode':''}")</f>
        <v>#REF!</v>
      </c>
    </row>
    <row r="284" spans="1:1" x14ac:dyDescent="0.2">
      <c r="A284" t="e">
        <f>CONCATENATE("{'SheetId':'1deb9a6e-dc5a-4908-87cc-034ee9747e20'",",","'UId':'d845e489-1201-4608-bf4a-4ed272602642'",",'Col':",COLUMN(BCDanhMucDauTu_06029!#REF!),",'Row':",ROW(BCDanhMucDauTu_06029!#REF!),",","'Format':'numberic'",",'Value':'",SUBSTITUTE(BCDanhMucDauTu_06029!#REF!,"'","\'"),"','TargetCode':''}")</f>
        <v>#REF!</v>
      </c>
    </row>
    <row r="285" spans="1:1" x14ac:dyDescent="0.2">
      <c r="A285" t="e">
        <f>CONCATENATE("{'SheetId':'1deb9a6e-dc5a-4908-87cc-034ee9747e20'",",","'UId':'1e992cf2-7118-4214-a559-0195c8884aea'",",'Col':",COLUMN(BCDanhMucDauTu_06029!#REF!),",'Row':",ROW(BCDanhMucDauTu_06029!#REF!),",","'ColDynamic':",COLUMN(BCDanhMucDauTu_06029!#REF!),",","'RowDynamic':",ROW(BCDanhMucDauTu_06029!#REF!),",","'Format':'numberic'",",'Value':'",SUBSTITUTE(BCDanhMucDauTu_06029!#REF!,"'","\'"),"','TargetCode':''}")</f>
        <v>#REF!</v>
      </c>
    </row>
    <row r="286" spans="1:1" x14ac:dyDescent="0.2">
      <c r="A286" t="e">
        <f>CONCATENATE("{'SheetId':'1deb9a6e-dc5a-4908-87cc-034ee9747e20'",",","'UId':'4f882b80-9e4d-4d19-8537-405badf59571'",",'Col':",COLUMN(BCDanhMucDauTu_06029!#REF!),",'Row':",ROW(BCDanhMucDauTu_06029!#REF!),",","'ColDynamic':",COLUMN(BCDanhMucDauTu_06029!#REF!),",","'RowDynamic':",ROW(BCDanhMucDauTu_06029!#REF!),",","'Format':'string'",",'Value':'",SUBSTITUTE(BCDanhMucDauTu_06029!#REF!,"'","\'"),"','TargetCode':''}")</f>
        <v>#REF!</v>
      </c>
    </row>
    <row r="287" spans="1:1" x14ac:dyDescent="0.2">
      <c r="A287" t="e">
        <f>CONCATENATE("{'SheetId':'1deb9a6e-dc5a-4908-87cc-034ee9747e20'",",","'UId':'5250f607-5010-4670-bb67-dda35efb42cd'",",'Col':",COLUMN(BCDanhMucDauTu_06029!#REF!),",'Row':",ROW(BCDanhMucDauTu_06029!#REF!),",","'ColDynamic':",COLUMN(BCDanhMucDauTu_06029!#REF!),",","'RowDynamic':",ROW(BCDanhMucDauTu_06029!#REF!),",","'Format':'numberic'",",'Value':'",SUBSTITUTE(BCDanhMucDauTu_06029!#REF!,"'","\'"),"','TargetCode':''}")</f>
        <v>#REF!</v>
      </c>
    </row>
    <row r="288" spans="1:1" x14ac:dyDescent="0.2">
      <c r="A288" t="e">
        <f>CONCATENATE("{'SheetId':'1deb9a6e-dc5a-4908-87cc-034ee9747e20'",",","'UId':'428c865a-7282-4f58-bc89-20f1b0217190'",",'Col':",COLUMN(BCDanhMucDauTu_06029!#REF!),",'Row':",ROW(BCDanhMucDauTu_06029!#REF!),",","'ColDynamic':",COLUMN(BCDanhMucDauTu_06029!#REF!),",","'RowDynamic':",ROW(BCDanhMucDauTu_06029!#REF!),",","'Format':'numberic'",",'Value':'",SUBSTITUTE(BCDanhMucDauTu_06029!#REF!,"'","\'"),"','TargetCode':''}")</f>
        <v>#REF!</v>
      </c>
    </row>
    <row r="289" spans="1:1" x14ac:dyDescent="0.2">
      <c r="A289" t="e">
        <f>CONCATENATE("{'SheetId':'1deb9a6e-dc5a-4908-87cc-034ee9747e20'",",","'UId':'9592905c-7577-459a-bf73-e7d1733cf17a'",",'Col':",COLUMN(BCDanhMucDauTu_06029!#REF!),",'Row':",ROW(BCDanhMucDauTu_06029!#REF!),",","'ColDynamic':",COLUMN(BCDanhMucDauTu_06029!#REF!),",","'RowDynamic':",ROW(BCDanhMucDauTu_06029!#REF!),",","'Format':'numberic'",",'Value':'",SUBSTITUTE(BCDanhMucDauTu_06029!#REF!,"'","\'"),"','TargetCode':''}")</f>
        <v>#REF!</v>
      </c>
    </row>
    <row r="290" spans="1:1" x14ac:dyDescent="0.2">
      <c r="A290" t="e">
        <f>CONCATENATE("{'SheetId':'1deb9a6e-dc5a-4908-87cc-034ee9747e20'",",","'UId':'a9e4466a-def7-4534-a075-0e61b1888eec'",",'Col':",COLUMN(BCDanhMucDauTu_06029!#REF!),",'Row':",ROW(BCDanhMucDauTu_06029!#REF!),",","'ColDynamic':",COLUMN(BCDanhMucDauTu_06029!#REF!),",","'RowDynamic':",ROW(BCDanhMucDauTu_06029!#REF!),",","'Format':'numberic'",",'Value':'",SUBSTITUTE(BCDanhMucDauTu_06029!#REF!,"'","\'"),"','TargetCode':''}")</f>
        <v>#REF!</v>
      </c>
    </row>
    <row r="291" spans="1:1" x14ac:dyDescent="0.2">
      <c r="A291" t="e">
        <f>CONCATENATE("{'SheetId':'1deb9a6e-dc5a-4908-87cc-034ee9747e20'",",","'UId':'13379930-3d0b-4576-86a6-aee55aa73fef'",",'Col':",COLUMN(BCDanhMucDauTu_06029!#REF!),",'Row':",ROW(BCDanhMucDauTu_06029!#REF!),",","'ColDynamic':",COLUMN(BCDanhMucDauTu_06029!#REF!),",","'RowDynamic':",ROW(BCDanhMucDauTu_06029!#REF!),",","'Format':'numberic'",",'Value':'",SUBSTITUTE(BCDanhMucDauTu_06029!#REF!,"'","\'"),"','TargetCode':''}")</f>
        <v>#REF!</v>
      </c>
    </row>
    <row r="292" spans="1:1" x14ac:dyDescent="0.2">
      <c r="A292" t="e">
        <f>CONCATENATE("{'SheetId':'1deb9a6e-dc5a-4908-87cc-034ee9747e20'",",","'UId':'17931870-911c-4fad-afd5-7ec649ba087b'",",'Col':",COLUMN(BCDanhMucDauTu_06029!#REF!),",'Row':",ROW(BCDanhMucDauTu_06029!#REF!),",","'Format':'numberic'",",'Value':'",SUBSTITUTE(BCDanhMucDauTu_06029!#REF!,"'","\'"),"','TargetCode':''}")</f>
        <v>#REF!</v>
      </c>
    </row>
    <row r="293" spans="1:1" x14ac:dyDescent="0.2">
      <c r="A293" t="e">
        <f>CONCATENATE("{'SheetId':'1deb9a6e-dc5a-4908-87cc-034ee9747e20'",",","'UId':'8e29656a-72a1-4698-a2d4-ab43c77220a4'",",'Col':",COLUMN(BCDanhMucDauTu_06029!#REF!),",'Row':",ROW(BCDanhMucDauTu_06029!#REF!),",","'Format':'numberic'",",'Value':'",SUBSTITUTE(BCDanhMucDauTu_06029!#REF!,"'","\'"),"','TargetCode':''}")</f>
        <v>#REF!</v>
      </c>
    </row>
    <row r="294" spans="1:1" x14ac:dyDescent="0.2">
      <c r="A294" t="e">
        <f>CONCATENATE("{'SheetId':'1deb9a6e-dc5a-4908-87cc-034ee9747e20'",",","'UId':'5fe96b01-5f18-4f07-ac34-11fa669457a4'",",'Col':",COLUMN(BCDanhMucDauTu_06029!#REF!),",'Row':",ROW(BCDanhMucDauTu_06029!#REF!),",","'Format':'numberic'",",'Value':'",SUBSTITUTE(BCDanhMucDauTu_06029!#REF!,"'","\'"),"','TargetCode':''}")</f>
        <v>#REF!</v>
      </c>
    </row>
    <row r="295" spans="1:1" x14ac:dyDescent="0.2">
      <c r="A295" t="e">
        <f>CONCATENATE("{'SheetId':'1deb9a6e-dc5a-4908-87cc-034ee9747e20'",",","'UId':'9d206dcc-b016-47b5-a344-791067be02d5'",",'Col':",COLUMN(BCDanhMucDauTu_06029!#REF!),",'Row':",ROW(BCDanhMucDauTu_06029!#REF!),",","'Format':'numberic'",",'Value':'",SUBSTITUTE(BCDanhMucDauTu_06029!#REF!,"'","\'"),"','TargetCode':''}")</f>
        <v>#REF!</v>
      </c>
    </row>
    <row r="296" spans="1:1" x14ac:dyDescent="0.2">
      <c r="A296" t="e">
        <f>CONCATENATE("{'SheetId':'1deb9a6e-dc5a-4908-87cc-034ee9747e20'",",","'UId':'d149d88b-77fb-4541-8798-63154426abc2'",",'Col':",COLUMN(BCDanhMucDauTu_06029!#REF!),",'Row':",ROW(BCDanhMucDauTu_06029!#REF!),",","'ColDynamic':",COLUMN(BCDanhMucDauTu_06029!#REF!),",","'RowDynamic':",ROW(BCDanhMucDauTu_06029!#REF!),",","'Format':'numberic'",",'Value':'",SUBSTITUTE(BCDanhMucDauTu_06029!#REF!,"'","\'"),"','TargetCode':''}")</f>
        <v>#REF!</v>
      </c>
    </row>
    <row r="297" spans="1:1" x14ac:dyDescent="0.2">
      <c r="A297" t="e">
        <f>CONCATENATE("{'SheetId':'1deb9a6e-dc5a-4908-87cc-034ee9747e20'",",","'UId':'63355adb-73ff-4fd6-a4ee-6353f3830628'",",'Col':",COLUMN(BCDanhMucDauTu_06029!#REF!),",'Row':",ROW(BCDanhMucDauTu_06029!#REF!),",","'ColDynamic':",COLUMN(BCDanhMucDauTu_06029!#REF!),",","'RowDynamic':",ROW(BCDanhMucDauTu_06029!#REF!),",","'Format':'string'",",'Value':'",SUBSTITUTE(BCDanhMucDauTu_06029!#REF!,"'","\'"),"','TargetCode':''}")</f>
        <v>#REF!</v>
      </c>
    </row>
    <row r="298" spans="1:1" x14ac:dyDescent="0.2">
      <c r="A298" t="e">
        <f>CONCATENATE("{'SheetId':'1deb9a6e-dc5a-4908-87cc-034ee9747e20'",",","'UId':'34e26121-8d4b-46bb-836d-3cc1913c6909'",",'Col':",COLUMN(BCDanhMucDauTu_06029!#REF!),",'Row':",ROW(BCDanhMucDauTu_06029!#REF!),",","'ColDynamic':",COLUMN(BCDanhMucDauTu_06029!#REF!),",","'RowDynamic':",ROW(BCDanhMucDauTu_06029!#REF!),",","'Format':'numberic'",",'Value':'",SUBSTITUTE(BCDanhMucDauTu_06029!#REF!,"'","\'"),"','TargetCode':''}")</f>
        <v>#REF!</v>
      </c>
    </row>
    <row r="299" spans="1:1" x14ac:dyDescent="0.2">
      <c r="A299" t="e">
        <f>CONCATENATE("{'SheetId':'1deb9a6e-dc5a-4908-87cc-034ee9747e20'",",","'UId':'dcb7503a-9941-4910-9dba-c04cd291c91d'",",'Col':",COLUMN(BCDanhMucDauTu_06029!#REF!),",'Row':",ROW(BCDanhMucDauTu_06029!#REF!),",","'ColDynamic':",COLUMN(BCDanhMucDauTu_06029!#REF!),",","'RowDynamic':",ROW(BCDanhMucDauTu_06029!#REF!),",","'Format':'numberic'",",'Value':'",SUBSTITUTE(BCDanhMucDauTu_06029!#REF!,"'","\'"),"','TargetCode':''}")</f>
        <v>#REF!</v>
      </c>
    </row>
    <row r="300" spans="1:1" x14ac:dyDescent="0.2">
      <c r="A300" t="e">
        <f>CONCATENATE("{'SheetId':'1deb9a6e-dc5a-4908-87cc-034ee9747e20'",",","'UId':'9ff33d6c-3426-46f5-98c3-f1cc3c6c563e'",",'Col':",COLUMN(BCDanhMucDauTu_06029!#REF!),",'Row':",ROW(BCDanhMucDauTu_06029!#REF!),",","'ColDynamic':",COLUMN(BCDanhMucDauTu_06029!#REF!),",","'RowDynamic':",ROW(BCDanhMucDauTu_06029!#REF!),",","'Format':'numberic'",",'Value':'",SUBSTITUTE(BCDanhMucDauTu_06029!#REF!,"'","\'"),"','TargetCode':''}")</f>
        <v>#REF!</v>
      </c>
    </row>
    <row r="301" spans="1:1" x14ac:dyDescent="0.2">
      <c r="A301" t="e">
        <f>CONCATENATE("{'SheetId':'1deb9a6e-dc5a-4908-87cc-034ee9747e20'",",","'UId':'196bc559-44ca-4c84-bc88-37e0b2b7c0ca'",",'Col':",COLUMN(BCDanhMucDauTu_06029!#REF!),",'Row':",ROW(BCDanhMucDauTu_06029!#REF!),",","'ColDynamic':",COLUMN(BCDanhMucDauTu_06029!#REF!),",","'RowDynamic':",ROW(BCDanhMucDauTu_06029!#REF!),",","'Format':'numberic'",",'Value':'",SUBSTITUTE(BCDanhMucDauTu_06029!#REF!,"'","\'"),"','TargetCode':''}")</f>
        <v>#REF!</v>
      </c>
    </row>
    <row r="302" spans="1:1" x14ac:dyDescent="0.2">
      <c r="A302" t="e">
        <f>CONCATENATE("{'SheetId':'1deb9a6e-dc5a-4908-87cc-034ee9747e20'",",","'UId':'76830a4a-49b3-4200-8f4c-2ccbb1a8164a'",",'Col':",COLUMN(BCDanhMucDauTu_06029!#REF!),",'Row':",ROW(BCDanhMucDauTu_06029!#REF!),",","'ColDynamic':",COLUMN(BCDanhMucDauTu_06029!#REF!),",","'RowDynamic':",ROW(BCDanhMucDauTu_06029!#REF!),",","'Format':'numberic'",",'Value':'",SUBSTITUTE(BCDanhMucDauTu_06029!#REF!,"'","\'"),"','TargetCode':''}")</f>
        <v>#REF!</v>
      </c>
    </row>
    <row r="303" spans="1:1" x14ac:dyDescent="0.2">
      <c r="A303" t="e">
        <f>CONCATENATE("{'SheetId':'1deb9a6e-dc5a-4908-87cc-034ee9747e20'",",","'UId':'c5e58da8-6303-4f4b-8cfb-be632ed7700b'",",'Col':",COLUMN(BCDanhMucDauTu_06029!#REF!),",'Row':",ROW(BCDanhMucDauTu_06029!#REF!),",","'Format':'numberic'",",'Value':'",SUBSTITUTE(BCDanhMucDauTu_06029!#REF!,"'","\'"),"','TargetCode':''}")</f>
        <v>#REF!</v>
      </c>
    </row>
    <row r="304" spans="1:1" x14ac:dyDescent="0.2">
      <c r="A304" t="e">
        <f>CONCATENATE("{'SheetId':'1deb9a6e-dc5a-4908-87cc-034ee9747e20'",",","'UId':'00ea0783-aace-414b-8975-b7b78127300d'",",'Col':",COLUMN(BCDanhMucDauTu_06029!#REF!),",'Row':",ROW(BCDanhMucDauTu_06029!#REF!),",","'Format':'numberic'",",'Value':'",SUBSTITUTE(BCDanhMucDauTu_06029!#REF!,"'","\'"),"','TargetCode':''}")</f>
        <v>#REF!</v>
      </c>
    </row>
    <row r="305" spans="1:1" x14ac:dyDescent="0.2">
      <c r="A305" t="e">
        <f>CONCATENATE("{'SheetId':'1deb9a6e-dc5a-4908-87cc-034ee9747e20'",",","'UId':'399d8c6f-4901-44ca-8111-9e12f616c487'",",'Col':",COLUMN(BCDanhMucDauTu_06029!#REF!),",'Row':",ROW(BCDanhMucDauTu_06029!#REF!),",","'Format':'numberic'",",'Value':'",SUBSTITUTE(BCDanhMucDauTu_06029!#REF!,"'","\'"),"','TargetCode':''}")</f>
        <v>#REF!</v>
      </c>
    </row>
    <row r="306" spans="1:1" x14ac:dyDescent="0.2">
      <c r="A306" t="e">
        <f>CONCATENATE("{'SheetId':'1deb9a6e-dc5a-4908-87cc-034ee9747e20'",",","'UId':'2cdda7fd-cb87-47da-8e30-06a3709bd609'",",'Col':",COLUMN(BCDanhMucDauTu_06029!#REF!),",'Row':",ROW(BCDanhMucDauTu_06029!#REF!),",","'Format':'numberic'",",'Value':'",SUBSTITUTE(BCDanhMucDauTu_06029!#REF!,"'","\'"),"','TargetCode':''}")</f>
        <v>#REF!</v>
      </c>
    </row>
    <row r="307" spans="1:1" x14ac:dyDescent="0.2">
      <c r="A307" t="e">
        <f>CONCATENATE("{'SheetId':'1deb9a6e-dc5a-4908-87cc-034ee9747e20'",",","'UId':'b8c20cc2-e76a-461c-ace9-e83abfcc1775'",",'Col':",COLUMN(BCDanhMucDauTu_06029!#REF!),",'Row':",ROW(BCDanhMucDauTu_06029!#REF!),",","'ColDynamic':",COLUMN(BCDanhMucDauTu_06029!#REF!),",","'RowDynamic':",ROW(BCDanhMucDauTu_06029!#REF!),",","'Format':'numberic'",",'Value':'",SUBSTITUTE(BCDanhMucDauTu_06029!#REF!,"'","\'"),"','TargetCode':''}")</f>
        <v>#REF!</v>
      </c>
    </row>
    <row r="308" spans="1:1" x14ac:dyDescent="0.2">
      <c r="A308" t="e">
        <f>CONCATENATE("{'SheetId':'1deb9a6e-dc5a-4908-87cc-034ee9747e20'",",","'UId':'e6fa0887-9c0a-49b1-a5d5-d55f5bee7d17'",",'Col':",COLUMN(BCDanhMucDauTu_06029!#REF!),",'Row':",ROW(BCDanhMucDauTu_06029!#REF!),",","'ColDynamic':",COLUMN(BCDanhMucDauTu_06029!#REF!),",","'RowDynamic':",ROW(BCDanhMucDauTu_06029!#REF!),",","'Format':'string'",",'Value':'",SUBSTITUTE(BCDanhMucDauTu_06029!#REF!,"'","\'"),"','TargetCode':''}")</f>
        <v>#REF!</v>
      </c>
    </row>
    <row r="309" spans="1:1" x14ac:dyDescent="0.2">
      <c r="A309" t="e">
        <f>CONCATENATE("{'SheetId':'1deb9a6e-dc5a-4908-87cc-034ee9747e20'",",","'UId':'6a029111-438c-4c2c-a425-15433a16ea47'",",'Col':",COLUMN(BCDanhMucDauTu_06029!#REF!),",'Row':",ROW(BCDanhMucDauTu_06029!#REF!),",","'ColDynamic':",COLUMN(BCDanhMucDauTu_06029!#REF!),",","'RowDynamic':",ROW(BCDanhMucDauTu_06029!#REF!),",","'Format':'numberic'",",'Value':'",SUBSTITUTE(BCDanhMucDauTu_06029!#REF!,"'","\'"),"','TargetCode':''}")</f>
        <v>#REF!</v>
      </c>
    </row>
    <row r="310" spans="1:1" x14ac:dyDescent="0.2">
      <c r="A310" t="e">
        <f>CONCATENATE("{'SheetId':'1deb9a6e-dc5a-4908-87cc-034ee9747e20'",",","'UId':'2af5b400-8abe-46e3-8b64-7efb4d13db84'",",'Col':",COLUMN(BCDanhMucDauTu_06029!#REF!),",'Row':",ROW(BCDanhMucDauTu_06029!#REF!),",","'ColDynamic':",COLUMN(BCDanhMucDauTu_06029!#REF!),",","'RowDynamic':",ROW(BCDanhMucDauTu_06029!#REF!),",","'Format':'numberic'",",'Value':'",SUBSTITUTE(BCDanhMucDauTu_06029!#REF!,"'","\'"),"','TargetCode':''}")</f>
        <v>#REF!</v>
      </c>
    </row>
    <row r="311" spans="1:1" x14ac:dyDescent="0.2">
      <c r="A311" t="e">
        <f>CONCATENATE("{'SheetId':'1deb9a6e-dc5a-4908-87cc-034ee9747e20'",",","'UId':'142640d6-6a87-400c-bc3e-fd34124b8a95'",",'Col':",COLUMN(BCDanhMucDauTu_06029!#REF!),",'Row':",ROW(BCDanhMucDauTu_06029!#REF!),",","'ColDynamic':",COLUMN(BCDanhMucDauTu_06029!#REF!),",","'RowDynamic':",ROW(BCDanhMucDauTu_06029!#REF!),",","'Format':'numberic'",",'Value':'",SUBSTITUTE(BCDanhMucDauTu_06029!#REF!,"'","\'"),"','TargetCode':''}")</f>
        <v>#REF!</v>
      </c>
    </row>
    <row r="312" spans="1:1" x14ac:dyDescent="0.2">
      <c r="A312" t="e">
        <f>CONCATENATE("{'SheetId':'1deb9a6e-dc5a-4908-87cc-034ee9747e20'",",","'UId':'a4748164-33b9-46bd-8561-e8b3f76700ee'",",'Col':",COLUMN(BCDanhMucDauTu_06029!#REF!),",'Row':",ROW(BCDanhMucDauTu_06029!#REF!),",","'ColDynamic':",COLUMN(BCDanhMucDauTu_06029!#REF!),",","'RowDynamic':",ROW(BCDanhMucDauTu_06029!#REF!),",","'Format':'numberic'",",'Value':'",SUBSTITUTE(BCDanhMucDauTu_06029!#REF!,"'","\'"),"','TargetCode':''}")</f>
        <v>#REF!</v>
      </c>
    </row>
    <row r="313" spans="1:1" x14ac:dyDescent="0.2">
      <c r="A313" t="e">
        <f>CONCATENATE("{'SheetId':'1deb9a6e-dc5a-4908-87cc-034ee9747e20'",",","'UId':'8b15b2dd-95b7-4075-8cb9-63831db4f74a'",",'Col':",COLUMN(BCDanhMucDauTu_06029!#REF!),",'Row':",ROW(BCDanhMucDauTu_06029!#REF!),",","'ColDynamic':",COLUMN(BCDanhMucDauTu_06029!#REF!),",","'RowDynamic':",ROW(BCDanhMucDauTu_06029!#REF!),",","'Format':'numberic'",",'Value':'",SUBSTITUTE(BCDanhMucDauTu_06029!#REF!,"'","\'"),"','TargetCode':''}")</f>
        <v>#REF!</v>
      </c>
    </row>
    <row r="314" spans="1:1" x14ac:dyDescent="0.2">
      <c r="A314" t="e">
        <f>CONCATENATE("{'SheetId':'1deb9a6e-dc5a-4908-87cc-034ee9747e20'",",","'UId':'fe496e11-6071-47ac-9042-fb59341ce9d3'",",'Col':",COLUMN(BCDanhMucDauTu_06029!#REF!),",'Row':",ROW(BCDanhMucDauTu_06029!#REF!),",","'Format':'numberic'",",'Value':'",SUBSTITUTE(BCDanhMucDauTu_06029!#REF!,"'","\'"),"','TargetCode':''}")</f>
        <v>#REF!</v>
      </c>
    </row>
    <row r="315" spans="1:1" x14ac:dyDescent="0.2">
      <c r="A315" t="e">
        <f>CONCATENATE("{'SheetId':'1deb9a6e-dc5a-4908-87cc-034ee9747e20'",",","'UId':'8f08a933-d633-4287-845a-9819dc196996'",",'Col':",COLUMN(BCDanhMucDauTu_06029!#REF!),",'Row':",ROW(BCDanhMucDauTu_06029!#REF!),",","'Format':'numberic'",",'Value':'",SUBSTITUTE(BCDanhMucDauTu_06029!#REF!,"'","\'"),"','TargetCode':''}")</f>
        <v>#REF!</v>
      </c>
    </row>
    <row r="316" spans="1:1" x14ac:dyDescent="0.2">
      <c r="A316" t="e">
        <f>CONCATENATE("{'SheetId':'1deb9a6e-dc5a-4908-87cc-034ee9747e20'",",","'UId':'dad551f4-82a6-49f9-9019-06cb4c328a89'",",'Col':",COLUMN(BCDanhMucDauTu_06029!#REF!),",'Row':",ROW(BCDanhMucDauTu_06029!#REF!),",","'Format':'numberic'",",'Value':'",SUBSTITUTE(BCDanhMucDauTu_06029!#REF!,"'","\'"),"','TargetCode':''}")</f>
        <v>#REF!</v>
      </c>
    </row>
    <row r="317" spans="1:1" x14ac:dyDescent="0.2">
      <c r="A317" t="e">
        <f>CONCATENATE("{'SheetId':'1deb9a6e-dc5a-4908-87cc-034ee9747e20'",",","'UId':'7bf94847-0bfe-4d96-ab7a-1ce79d9343f5'",",'Col':",COLUMN(BCDanhMucDauTu_06029!#REF!),",'Row':",ROW(BCDanhMucDauTu_06029!#REF!),",","'Format':'numberic'",",'Value':'",SUBSTITUTE(BCDanhMucDauTu_06029!#REF!,"'","\'"),"','TargetCode':''}")</f>
        <v>#REF!</v>
      </c>
    </row>
    <row r="318" spans="1:1" x14ac:dyDescent="0.2">
      <c r="A318" t="e">
        <f>CONCATENATE("{'SheetId':'1deb9a6e-dc5a-4908-87cc-034ee9747e20'",",","'UId':'55eed474-1147-4da3-9086-9e821874c0a4'",",'Col':",COLUMN(BCDanhMucDauTu_06029!#REF!),",'Row':",ROW(BCDanhMucDauTu_06029!#REF!),",","'ColDynamic':",COLUMN(BCDanhMucDauTu_06029!#REF!),",","'RowDynamic':",ROW(BCDanhMucDauTu_06029!#REF!),",","'Format':'numberic'",",'Value':'",SUBSTITUTE(BCDanhMucDauTu_06029!#REF!,"'","\'"),"','TargetCode':''}")</f>
        <v>#REF!</v>
      </c>
    </row>
    <row r="319" spans="1:1" x14ac:dyDescent="0.2">
      <c r="A319" t="e">
        <f>CONCATENATE("{'SheetId':'1deb9a6e-dc5a-4908-87cc-034ee9747e20'",",","'UId':'1c32b7bf-2ca1-44a0-8279-a8f01d6b7249'",",'Col':",COLUMN(BCDanhMucDauTu_06029!#REF!),",'Row':",ROW(BCDanhMucDauTu_06029!#REF!),",","'ColDynamic':",COLUMN(BCDanhMucDauTu_06029!#REF!),",","'RowDynamic':",ROW(BCDanhMucDauTu_06029!#REF!),",","'Format':'string'",",'Value':'",SUBSTITUTE(BCDanhMucDauTu_06029!#REF!,"'","\'"),"','TargetCode':''}")</f>
        <v>#REF!</v>
      </c>
    </row>
    <row r="320" spans="1:1" x14ac:dyDescent="0.2">
      <c r="A320" t="e">
        <f>CONCATENATE("{'SheetId':'1deb9a6e-dc5a-4908-87cc-034ee9747e20'",",","'UId':'f6a0865a-7cc4-4bd5-9c41-171ccfbe8908'",",'Col':",COLUMN(BCDanhMucDauTu_06029!#REF!),",'Row':",ROW(BCDanhMucDauTu_06029!#REF!),",","'ColDynamic':",COLUMN(BCDanhMucDauTu_06029!#REF!),",","'RowDynamic':",ROW(BCDanhMucDauTu_06029!#REF!),",","'Format':'numberic'",",'Value':'",SUBSTITUTE(BCDanhMucDauTu_06029!#REF!,"'","\'"),"','TargetCode':''}")</f>
        <v>#REF!</v>
      </c>
    </row>
    <row r="321" spans="1:1" x14ac:dyDescent="0.2">
      <c r="A321" t="e">
        <f>CONCATENATE("{'SheetId':'1deb9a6e-dc5a-4908-87cc-034ee9747e20'",",","'UId':'26677bc1-4784-4b02-a8da-eb1a17958c29'",",'Col':",COLUMN(BCDanhMucDauTu_06029!#REF!),",'Row':",ROW(BCDanhMucDauTu_06029!#REF!),",","'ColDynamic':",COLUMN(BCDanhMucDauTu_06029!#REF!),",","'RowDynamic':",ROW(BCDanhMucDauTu_06029!#REF!),",","'Format':'numberic'",",'Value':'",SUBSTITUTE(BCDanhMucDauTu_06029!#REF!,"'","\'"),"','TargetCode':''}")</f>
        <v>#REF!</v>
      </c>
    </row>
    <row r="322" spans="1:1" x14ac:dyDescent="0.2">
      <c r="A322" t="e">
        <f>CONCATENATE("{'SheetId':'1deb9a6e-dc5a-4908-87cc-034ee9747e20'",",","'UId':'8088aec8-68fc-443f-8fce-4f1788e831ff'",",'Col':",COLUMN(BCDanhMucDauTu_06029!#REF!),",'Row':",ROW(BCDanhMucDauTu_06029!#REF!),",","'ColDynamic':",COLUMN(BCDanhMucDauTu_06029!#REF!),",","'RowDynamic':",ROW(BCDanhMucDauTu_06029!#REF!),",","'Format':'numberic'",",'Value':'",SUBSTITUTE(BCDanhMucDauTu_06029!#REF!,"'","\'"),"','TargetCode':''}")</f>
        <v>#REF!</v>
      </c>
    </row>
    <row r="323" spans="1:1" x14ac:dyDescent="0.2">
      <c r="A323" t="e">
        <f>CONCATENATE("{'SheetId':'1deb9a6e-dc5a-4908-87cc-034ee9747e20'",",","'UId':'109895da-3858-4d8d-ab90-543bcf58b23e'",",'Col':",COLUMN(BCDanhMucDauTu_06029!#REF!),",'Row':",ROW(BCDanhMucDauTu_06029!#REF!),",","'ColDynamic':",COLUMN(BCDanhMucDauTu_06029!#REF!),",","'RowDynamic':",ROW(BCDanhMucDauTu_06029!#REF!),",","'Format':'numberic'",",'Value':'",SUBSTITUTE(BCDanhMucDauTu_06029!#REF!,"'","\'"),"','TargetCode':''}")</f>
        <v>#REF!</v>
      </c>
    </row>
    <row r="324" spans="1:1" x14ac:dyDescent="0.2">
      <c r="A324" t="e">
        <f>CONCATENATE("{'SheetId':'1deb9a6e-dc5a-4908-87cc-034ee9747e20'",",","'UId':'b12319f9-b486-4e3c-968f-635c2693280b'",",'Col':",COLUMN(BCDanhMucDauTu_06029!#REF!),",'Row':",ROW(BCDanhMucDauTu_06029!#REF!),",","'ColDynamic':",COLUMN(BCDanhMucDauTu_06029!#REF!),",","'RowDynamic':",ROW(BCDanhMucDauTu_06029!#REF!),",","'Format':'numberic'",",'Value':'",SUBSTITUTE(BCDanhMucDauTu_06029!#REF!,"'","\'"),"','TargetCode':''}")</f>
        <v>#REF!</v>
      </c>
    </row>
    <row r="325" spans="1:1" x14ac:dyDescent="0.2">
      <c r="A325" t="e">
        <f>CONCATENATE("{'SheetId':'1deb9a6e-dc5a-4908-87cc-034ee9747e20'",",","'UId':'740ad2fc-8f8c-4571-bfbb-d73a204a23fa'",",'Col':",COLUMN(BCDanhMucDauTu_06029!#REF!),",'Row':",ROW(BCDanhMucDauTu_06029!#REF!),",","'Format':'numberic'",",'Value':'",SUBSTITUTE(BCDanhMucDauTu_06029!#REF!,"'","\'"),"','TargetCode':''}")</f>
        <v>#REF!</v>
      </c>
    </row>
    <row r="326" spans="1:1" x14ac:dyDescent="0.2">
      <c r="A326" t="e">
        <f>CONCATENATE("{'SheetId':'1deb9a6e-dc5a-4908-87cc-034ee9747e20'",",","'UId':'41643327-c3cb-4259-acbc-d10c8c939580'",",'Col':",COLUMN(BCDanhMucDauTu_06029!#REF!),",'Row':",ROW(BCDanhMucDauTu_06029!#REF!),",","'Format':'numberic'",",'Value':'",SUBSTITUTE(BCDanhMucDauTu_06029!#REF!,"'","\'"),"','TargetCode':''}")</f>
        <v>#REF!</v>
      </c>
    </row>
    <row r="327" spans="1:1" x14ac:dyDescent="0.2">
      <c r="A327" t="e">
        <f>CONCATENATE("{'SheetId':'1deb9a6e-dc5a-4908-87cc-034ee9747e20'",",","'UId':'d007d564-0a98-45f4-94c4-a2e4056245bc'",",'Col':",COLUMN(BCDanhMucDauTu_06029!#REF!),",'Row':",ROW(BCDanhMucDauTu_06029!#REF!),",","'Format':'numberic'",",'Value':'",SUBSTITUTE(BCDanhMucDauTu_06029!#REF!,"'","\'"),"','TargetCode':''}")</f>
        <v>#REF!</v>
      </c>
    </row>
    <row r="328" spans="1:1" x14ac:dyDescent="0.2">
      <c r="A328" t="e">
        <f>CONCATENATE("{'SheetId':'1deb9a6e-dc5a-4908-87cc-034ee9747e20'",",","'UId':'87b8e950-d5f9-45b4-8cfb-d8108dd16f8f'",",'Col':",COLUMN(BCDanhMucDauTu_06029!#REF!),",'Row':",ROW(BCDanhMucDauTu_06029!#REF!),",","'Format':'numberic'",",'Value':'",SUBSTITUTE(BCDanhMucDauTu_06029!#REF!,"'","\'"),"','TargetCode':''}")</f>
        <v>#REF!</v>
      </c>
    </row>
    <row r="329" spans="1:1" x14ac:dyDescent="0.2">
      <c r="A329" t="e">
        <f>CONCATENATE("{'SheetId':'1deb9a6e-dc5a-4908-87cc-034ee9747e20'",",","'UId':'70e2406f-94eb-466f-8d09-837ad44a449c'",",'Col':",COLUMN(BCDanhMucDauTu_06029!#REF!),",'Row':",ROW(BCDanhMucDauTu_06029!#REF!),",","'Format':'numberic'",",'Value':'",SUBSTITUTE(BCDanhMucDauTu_06029!#REF!,"'","\'"),"','TargetCode':''}")</f>
        <v>#REF!</v>
      </c>
    </row>
    <row r="330" spans="1:1" x14ac:dyDescent="0.2">
      <c r="A330" t="e">
        <f>CONCATENATE("{'SheetId':'1deb9a6e-dc5a-4908-87cc-034ee9747e20'",",","'UId':'d0c68994-6723-45f4-a51b-ec4a1f1cb761'",",'Col':",COLUMN(BCDanhMucDauTu_06029!#REF!),",'Row':",ROW(BCDanhMucDauTu_06029!#REF!),",","'Format':'numberic'",",'Value':'",SUBSTITUTE(BCDanhMucDauTu_06029!#REF!,"'","\'"),"','TargetCode':''}")</f>
        <v>#REF!</v>
      </c>
    </row>
    <row r="331" spans="1:1" x14ac:dyDescent="0.2">
      <c r="A331" t="e">
        <f>CONCATENATE("{'SheetId':'1deb9a6e-dc5a-4908-87cc-034ee9747e20'",",","'UId':'6c78638c-c601-49bf-a9e5-d48c4258eadd'",",'Col':",COLUMN(BCDanhMucDauTu_06029!#REF!),",'Row':",ROW(BCDanhMucDauTu_06029!#REF!),",","'Format':'numberic'",",'Value':'",SUBSTITUTE(BCDanhMucDauTu_06029!#REF!,"'","\'"),"','TargetCode':''}")</f>
        <v>#REF!</v>
      </c>
    </row>
    <row r="332" spans="1:1" x14ac:dyDescent="0.2">
      <c r="A332" t="e">
        <f>CONCATENATE("{'SheetId':'1deb9a6e-dc5a-4908-87cc-034ee9747e20'",",","'UId':'bb82eed3-a7c3-4954-be20-20a9717d4026'",",'Col':",COLUMN(BCDanhMucDauTu_06029!#REF!),",'Row':",ROW(BCDanhMucDauTu_06029!#REF!),",","'Format':'numberic'",",'Value':'",SUBSTITUTE(BCDanhMucDauTu_06029!#REF!,"'","\'"),"','TargetCode':''}")</f>
        <v>#REF!</v>
      </c>
    </row>
    <row r="333" spans="1:1" x14ac:dyDescent="0.2">
      <c r="A333" t="e">
        <f>CONCATENATE("{'SheetId':'1deb9a6e-dc5a-4908-87cc-034ee9747e20'",",","'UId':'4fe6fd2f-049f-4c3b-a78b-58fd08d62d7d'",",'Col':",COLUMN(BCDanhMucDauTu_06029!#REF!),",'Row':",ROW(BCDanhMucDauTu_06029!#REF!),",","'ColDynamic':",COLUMN(BCDanhMucDauTu_06029!#REF!),",","'RowDynamic':",ROW(BCDanhMucDauTu_06029!#REF!),",","'Format':'numberic'",",'Value':'",SUBSTITUTE(BCDanhMucDauTu_06029!#REF!,"'","\'"),"','TargetCode':''}")</f>
        <v>#REF!</v>
      </c>
    </row>
    <row r="334" spans="1:1" x14ac:dyDescent="0.2">
      <c r="A334" t="e">
        <f>CONCATENATE("{'SheetId':'1deb9a6e-dc5a-4908-87cc-034ee9747e20'",",","'UId':'21737fa5-5263-466a-9802-c554ec94ffeb'",",'Col':",COLUMN(BCDanhMucDauTu_06029!#REF!),",'Row':",ROW(BCDanhMucDauTu_06029!#REF!),",","'ColDynamic':",COLUMN(BCDanhMucDauTu_06029!#REF!),",","'RowDynamic':",ROW(BCDanhMucDauTu_06029!#REF!),",","'Format':'string'",",'Value':'",SUBSTITUTE(BCDanhMucDauTu_06029!#REF!,"'","\'"),"','TargetCode':''}")</f>
        <v>#REF!</v>
      </c>
    </row>
    <row r="335" spans="1:1" x14ac:dyDescent="0.2">
      <c r="A335" t="e">
        <f>CONCATENATE("{'SheetId':'1deb9a6e-dc5a-4908-87cc-034ee9747e20'",",","'UId':'b1780ae8-e3e9-4d68-b8e3-06dc22233b5c'",",'Col':",COLUMN(BCDanhMucDauTu_06029!#REF!),",'Row':",ROW(BCDanhMucDauTu_06029!#REF!),",","'ColDynamic':",COLUMN(BCDanhMucDauTu_06029!#REF!),",","'RowDynamic':",ROW(BCDanhMucDauTu_06029!#REF!),",","'Format':'numberic'",",'Value':'",SUBSTITUTE(BCDanhMucDauTu_06029!#REF!,"'","\'"),"','TargetCode':''}")</f>
        <v>#REF!</v>
      </c>
    </row>
    <row r="336" spans="1:1" x14ac:dyDescent="0.2">
      <c r="A336" t="e">
        <f>CONCATENATE("{'SheetId':'1deb9a6e-dc5a-4908-87cc-034ee9747e20'",",","'UId':'fd0c415a-d2bc-42ee-b389-414f8400dae8'",",'Col':",COLUMN(BCDanhMucDauTu_06029!#REF!),",'Row':",ROW(BCDanhMucDauTu_06029!#REF!),",","'ColDynamic':",COLUMN(BCDanhMucDauTu_06029!#REF!),",","'RowDynamic':",ROW(BCDanhMucDauTu_06029!#REF!),",","'Format':'numberic'",",'Value':'",SUBSTITUTE(BCDanhMucDauTu_06029!#REF!,"'","\'"),"','TargetCode':''}")</f>
        <v>#REF!</v>
      </c>
    </row>
    <row r="337" spans="1:1" x14ac:dyDescent="0.2">
      <c r="A337" t="e">
        <f>CONCATENATE("{'SheetId':'1deb9a6e-dc5a-4908-87cc-034ee9747e20'",",","'UId':'816243e8-9c85-4ba1-805c-371f6b4844e4'",",'Col':",COLUMN(BCDanhMucDauTu_06029!#REF!),",'Row':",ROW(BCDanhMucDauTu_06029!#REF!),",","'ColDynamic':",COLUMN(BCDanhMucDauTu_06029!#REF!),",","'RowDynamic':",ROW(BCDanhMucDauTu_06029!#REF!),",","'Format':'numberic'",",'Value':'",SUBSTITUTE(BCDanhMucDauTu_06029!#REF!,"'","\'"),"','TargetCode':''}")</f>
        <v>#REF!</v>
      </c>
    </row>
    <row r="338" spans="1:1" x14ac:dyDescent="0.2">
      <c r="A338" t="e">
        <f>CONCATENATE("{'SheetId':'1deb9a6e-dc5a-4908-87cc-034ee9747e20'",",","'UId':'2efa8183-1804-400f-919b-54e0d328e017'",",'Col':",COLUMN(BCDanhMucDauTu_06029!#REF!),",'Row':",ROW(BCDanhMucDauTu_06029!#REF!),",","'ColDynamic':",COLUMN(BCDanhMucDauTu_06029!#REF!),",","'RowDynamic':",ROW(BCDanhMucDauTu_06029!#REF!),",","'Format':'numberic'",",'Value':'",SUBSTITUTE(BCDanhMucDauTu_06029!#REF!,"'","\'"),"','TargetCode':''}")</f>
        <v>#REF!</v>
      </c>
    </row>
    <row r="339" spans="1:1" x14ac:dyDescent="0.2">
      <c r="A339" t="e">
        <f>CONCATENATE("{'SheetId':'1deb9a6e-dc5a-4908-87cc-034ee9747e20'",",","'UId':'890ca93f-4ffa-4063-bc4e-3ca8427d321f'",",'Col':",COLUMN(BCDanhMucDauTu_06029!#REF!),",'Row':",ROW(BCDanhMucDauTu_06029!#REF!),",","'ColDynamic':",COLUMN(BCDanhMucDauTu_06029!#REF!),",","'RowDynamic':",ROW(BCDanhMucDauTu_06029!#REF!),",","'Format':'numberic'",",'Value':'",SUBSTITUTE(BCDanhMucDauTu_06029!#REF!,"'","\'"),"','TargetCode':''}")</f>
        <v>#REF!</v>
      </c>
    </row>
    <row r="340" spans="1:1" x14ac:dyDescent="0.2">
      <c r="A340" t="e">
        <f>CONCATENATE("{'SheetId':'1deb9a6e-dc5a-4908-87cc-034ee9747e20'",",","'UId':'df249e66-a9ea-45a2-9c76-d51aecb2379d'",",'Col':",COLUMN(BCDanhMucDauTu_06029!#REF!),",'Row':",ROW(BCDanhMucDauTu_06029!#REF!),",","'Format':'numberic'",",'Value':'",SUBSTITUTE(BCDanhMucDauTu_06029!#REF!,"'","\'"),"','TargetCode':''}")</f>
        <v>#REF!</v>
      </c>
    </row>
    <row r="341" spans="1:1" x14ac:dyDescent="0.2">
      <c r="A341" t="e">
        <f>CONCATENATE("{'SheetId':'1deb9a6e-dc5a-4908-87cc-034ee9747e20'",",","'UId':'a81df1b4-0c26-4bbd-9a9d-27dc4b538b2c'",",'Col':",COLUMN(BCDanhMucDauTu_06029!#REF!),",'Row':",ROW(BCDanhMucDauTu_06029!#REF!),",","'Format':'numberic'",",'Value':'",SUBSTITUTE(BCDanhMucDauTu_06029!#REF!,"'","\'"),"','TargetCode':''}")</f>
        <v>#REF!</v>
      </c>
    </row>
    <row r="342" spans="1:1" x14ac:dyDescent="0.2">
      <c r="A342" t="e">
        <f>CONCATENATE("{'SheetId':'1deb9a6e-dc5a-4908-87cc-034ee9747e20'",",","'UId':'4a9e3616-ca24-464d-b5e2-89b07d4dab94'",",'Col':",COLUMN(BCDanhMucDauTu_06029!#REF!),",'Row':",ROW(BCDanhMucDauTu_06029!#REF!),",","'Format':'numberic'",",'Value':'",SUBSTITUTE(BCDanhMucDauTu_06029!#REF!,"'","\'"),"','TargetCode':''}")</f>
        <v>#REF!</v>
      </c>
    </row>
    <row r="343" spans="1:1" x14ac:dyDescent="0.2">
      <c r="A343" t="e">
        <f>CONCATENATE("{'SheetId':'1deb9a6e-dc5a-4908-87cc-034ee9747e20'",",","'UId':'4cbb5dbb-7a56-4367-b451-172c5d9fc088'",",'Col':",COLUMN(BCDanhMucDauTu_06029!#REF!),",'Row':",ROW(BCDanhMucDauTu_06029!#REF!),",","'Format':'numberic'",",'Value':'",SUBSTITUTE(BCDanhMucDauTu_06029!#REF!,"'","\'"),"','TargetCode':''}")</f>
        <v>#REF!</v>
      </c>
    </row>
    <row r="344" spans="1:1" x14ac:dyDescent="0.2">
      <c r="A344" t="e">
        <f>CONCATENATE("{'SheetId':'1deb9a6e-dc5a-4908-87cc-034ee9747e20'",",","'UId':'70357de6-0706-48a2-a361-da95bcaa1827'",",'Col':",COLUMN(BCDanhMucDauTu_06029!#REF!),",'Row':",ROW(BCDanhMucDauTu_06029!#REF!),",","'Format':'numberic'",",'Value':'",SUBSTITUTE(BCDanhMucDauTu_06029!#REF!,"'","\'"),"','TargetCode':''}")</f>
        <v>#REF!</v>
      </c>
    </row>
    <row r="345" spans="1:1" x14ac:dyDescent="0.2">
      <c r="A345" t="e">
        <f>CONCATENATE("{'SheetId':'1deb9a6e-dc5a-4908-87cc-034ee9747e20'",",","'UId':'4f148c59-190d-4dad-aff9-126f4ce81c6d'",",'Col':",COLUMN(BCDanhMucDauTu_06029!#REF!),",'Row':",ROW(BCDanhMucDauTu_06029!#REF!),",","'Format':'numberic'",",'Value':'",SUBSTITUTE(BCDanhMucDauTu_06029!#REF!,"'","\'"),"','TargetCode':''}")</f>
        <v>#REF!</v>
      </c>
    </row>
    <row r="346" spans="1:1" x14ac:dyDescent="0.2">
      <c r="A346" t="e">
        <f>CONCATENATE("{'SheetId':'1deb9a6e-dc5a-4908-87cc-034ee9747e20'",",","'UId':'6ba9d2bf-7322-4bb6-be73-05a728f53c5a'",",'Col':",COLUMN(BCDanhMucDauTu_06029!#REF!),",'Row':",ROW(BCDanhMucDauTu_06029!#REF!),",","'Format':'numberic'",",'Value':'",SUBSTITUTE(BCDanhMucDauTu_06029!#REF!,"'","\'"),"','TargetCode':''}")</f>
        <v>#REF!</v>
      </c>
    </row>
    <row r="347" spans="1:1" x14ac:dyDescent="0.2">
      <c r="A347" t="e">
        <f>CONCATENATE("{'SheetId':'1deb9a6e-dc5a-4908-87cc-034ee9747e20'",",","'UId':'cad08826-aed0-458d-a3df-563ee1ca2782'",",'Col':",COLUMN(BCDanhMucDauTu_06029!#REF!),",'Row':",ROW(BCDanhMucDauTu_06029!#REF!),",","'Format':'numberic'",",'Value':'",SUBSTITUTE(BCDanhMucDauTu_06029!#REF!,"'","\'"),"','TargetCode':''}")</f>
        <v>#REF!</v>
      </c>
    </row>
    <row r="348" spans="1:1" x14ac:dyDescent="0.2">
      <c r="A348" t="e">
        <f>CONCATENATE("{'SheetId':'1deb9a6e-dc5a-4908-87cc-034ee9747e20'",",","'UId':'26452794-e0d2-44f2-8c51-7f5465fbf4cf'",",'Col':",COLUMN(BCDanhMucDauTu_06029!#REF!),",'Row':",ROW(BCDanhMucDauTu_06029!#REF!),",","'ColDynamic':",COLUMN(BCDanhMucDauTu_06029!#REF!),",","'RowDynamic':",ROW(BCDanhMucDauTu_06029!#REF!),",","'Format':'string'",",'Value':'",SUBSTITUTE(BCDanhMucDauTu_06029!#REF!,"'","\'"),"','TargetCode':''}")</f>
        <v>#REF!</v>
      </c>
    </row>
    <row r="349" spans="1:1" x14ac:dyDescent="0.2">
      <c r="A349" t="e">
        <f>CONCATENATE("{'SheetId':'1deb9a6e-dc5a-4908-87cc-034ee9747e20'",",","'UId':'9b14eff9-5e45-4cf1-9494-0604b89ed28b'",",'Col':",COLUMN(BCDanhMucDauTu_06029!#REF!),",'Row':",ROW(BCDanhMucDauTu_06029!#REF!),",","'ColDynamic':",COLUMN(BCDanhMucDauTu_06029!#REF!),",","'RowDynamic':",ROW(BCDanhMucDauTu_06029!#REF!),",","'Format':'string'",",'Value':'",SUBSTITUTE(BCDanhMucDauTu_06029!#REF!,"'","\'"),"','TargetCode':''}")</f>
        <v>#REF!</v>
      </c>
    </row>
    <row r="350" spans="1:1" x14ac:dyDescent="0.2">
      <c r="A350" t="e">
        <f>CONCATENATE("{'SheetId':'1deb9a6e-dc5a-4908-87cc-034ee9747e20'",",","'UId':'8d66f097-23e3-4ef9-8131-e5ac52c6b32f'",",'Col':",COLUMN(BCDanhMucDauTu_06029!#REF!),",'Row':",ROW(BCDanhMucDauTu_06029!#REF!),",","'ColDynamic':",COLUMN(BCDanhMucDauTu_06029!#REF!),",","'RowDynamic':",ROW(BCDanhMucDauTu_06029!#REF!),",","'Format':'string'",",'Value':'",SUBSTITUTE(BCDanhMucDauTu_06029!#REF!,"'","\'"),"','TargetCode':''}")</f>
        <v>#REF!</v>
      </c>
    </row>
    <row r="351" spans="1:1" x14ac:dyDescent="0.2">
      <c r="A351" t="e">
        <f>CONCATENATE("{'SheetId':'1deb9a6e-dc5a-4908-87cc-034ee9747e20'",",","'UId':'ead9614a-658c-4220-bedf-ca1bfba113ca'",",'Col':",COLUMN(BCDanhMucDauTu_06029!#REF!),",'Row':",ROW(BCDanhMucDauTu_06029!#REF!),",","'ColDynamic':",COLUMN(BCDanhMucDauTu_06029!#REF!),",","'RowDynamic':",ROW(BCDanhMucDauTu_06029!#REF!),",","'Format':'numberic'",",'Value':'",SUBSTITUTE(BCDanhMucDauTu_06029!#REF!,"'","\'"),"','TargetCode':''}")</f>
        <v>#REF!</v>
      </c>
    </row>
    <row r="352" spans="1:1" x14ac:dyDescent="0.2">
      <c r="A352" t="e">
        <f>CONCATENATE("{'SheetId':'1deb9a6e-dc5a-4908-87cc-034ee9747e20'",",","'UId':'4fdfc09c-5e5b-40ad-b617-c48d140e6fbc'",",'Col':",COLUMN(BCDanhMucDauTu_06029!#REF!),",'Row':",ROW(BCDanhMucDauTu_06029!#REF!),",","'ColDynamic':",COLUMN(BCDanhMucDauTu_06029!#REF!),",","'RowDynamic':",ROW(BCDanhMucDauTu_06029!#REF!),",","'Format':'numberic'",",'Value':'",SUBSTITUTE(BCDanhMucDauTu_06029!#REF!,"'","\'"),"','TargetCode':''}")</f>
        <v>#REF!</v>
      </c>
    </row>
    <row r="353" spans="1:1" x14ac:dyDescent="0.2">
      <c r="A353" t="e">
        <f>CONCATENATE("{'SheetId':'1deb9a6e-dc5a-4908-87cc-034ee9747e20'",",","'UId':'ba8351a8-8ef9-4c39-b20c-9e499c7302c4'",",'Col':",COLUMN(BCDanhMucDauTu_06029!#REF!),",'Row':",ROW(BCDanhMucDauTu_06029!#REF!),",","'ColDynamic':",COLUMN(BCDanhMucDauTu_06029!#REF!),",","'RowDynamic':",ROW(BCDanhMucDauTu_06029!#REF!),",","'Format':'numberic'",",'Value':'",SUBSTITUTE(BCDanhMucDauTu_06029!#REF!,"'","\'"),"','TargetCode':''}")</f>
        <v>#REF!</v>
      </c>
    </row>
    <row r="354" spans="1:1" x14ac:dyDescent="0.2">
      <c r="A354" t="e">
        <f>CONCATENATE("{'SheetId':'1deb9a6e-dc5a-4908-87cc-034ee9747e20'",",","'UId':'20aec549-2649-4108-8c50-4ff697541fea'",",'Col':",COLUMN(BCDanhMucDauTu_06029!#REF!),",'Row':",ROW(BCDanhMucDauTu_06029!#REF!),",","'ColDynamic':",COLUMN(BCDanhMucDauTu_06029!#REF!),",","'RowDynamic':",ROW(BCDanhMucDauTu_06029!#REF!),",","'Format':'numberic'",",'Value':'",SUBSTITUTE(BCDanhMucDauTu_06029!#REF!,"'","\'"),"','TargetCode':''}")</f>
        <v>#REF!</v>
      </c>
    </row>
    <row r="355" spans="1:1" x14ac:dyDescent="0.2">
      <c r="A355" t="e">
        <f>CONCATENATE("{'SheetId':'1deb9a6e-dc5a-4908-87cc-034ee9747e20'",",","'UId':'c94d94d7-01a6-4c24-95e6-4f83c62d0567'",",'Col':",COLUMN(BCDanhMucDauTu_06029!#REF!),",'Row':",ROW(BCDanhMucDauTu_06029!#REF!),",","'ColDynamic':",COLUMN(BCDanhMucDauTu_06029!#REF!),",","'RowDynamic':",ROW(BCDanhMucDauTu_06029!#REF!),",","'Format':'string'",",'Value':'",SUBSTITUTE(BCDanhMucDauTu_06029!#REF!,"'","\'"),"','TargetCode':''}")</f>
        <v>#REF!</v>
      </c>
    </row>
    <row r="356" spans="1:1" x14ac:dyDescent="0.2">
      <c r="A356" t="e">
        <f>CONCATENATE("{'SheetId':'1deb9a6e-dc5a-4908-87cc-034ee9747e20'",",","'UId':'333b59bf-d7bf-4903-a769-681773c5c1d6'",",'Col':",COLUMN(BCDanhMucDauTu_06029!#REF!),",'Row':",ROW(BCDanhMucDauTu_06029!#REF!),",","'ColDynamic':",COLUMN(BCDanhMucDauTu_06029!#REF!),",","'RowDynamic':",ROW(BCDanhMucDauTu_06029!#REF!),",","'Format':'string'",",'Value':'",SUBSTITUTE(BCDanhMucDauTu_06029!#REF!,"'","\'"),"','TargetCode':''}")</f>
        <v>#REF!</v>
      </c>
    </row>
    <row r="357" spans="1:1" x14ac:dyDescent="0.2">
      <c r="A357" t="e">
        <f>CONCATENATE("{'SheetId':'1deb9a6e-dc5a-4908-87cc-034ee9747e20'",",","'UId':'70dcb08c-d0c0-43e8-87c7-cb83b1736902'",",'Col':",COLUMN(BCDanhMucDauTu_06029!#REF!),",'Row':",ROW(BCDanhMucDauTu_06029!#REF!),",","'ColDynamic':",COLUMN(BCDanhMucDauTu_06029!#REF!),",","'RowDynamic':",ROW(BCDanhMucDauTu_06029!#REF!),",","'Format':'string'",",'Value':'",SUBSTITUTE(BCDanhMucDauTu_06029!#REF!,"'","\'"),"','TargetCode':''}")</f>
        <v>#REF!</v>
      </c>
    </row>
    <row r="358" spans="1:1" x14ac:dyDescent="0.2">
      <c r="A358" t="e">
        <f>CONCATENATE("{'SheetId':'1deb9a6e-dc5a-4908-87cc-034ee9747e20'",",","'UId':'b98b0710-edbe-464f-91cc-a50943b92e53'",",'Col':",COLUMN(BCDanhMucDauTu_06029!#REF!),",'Row':",ROW(BCDanhMucDauTu_06029!#REF!),",","'ColDynamic':",COLUMN(BCDanhMucDauTu_06029!#REF!),",","'RowDynamic':",ROW(BCDanhMucDauTu_06029!#REF!),",","'Format':'numberic'",",'Value':'",SUBSTITUTE(BCDanhMucDauTu_06029!#REF!,"'","\'"),"','TargetCode':''}")</f>
        <v>#REF!</v>
      </c>
    </row>
    <row r="359" spans="1:1" x14ac:dyDescent="0.2">
      <c r="A359" t="e">
        <f>CONCATENATE("{'SheetId':'1deb9a6e-dc5a-4908-87cc-034ee9747e20'",",","'UId':'1e5e338d-e8d3-484c-a931-f154e681f9d1'",",'Col':",COLUMN(BCDanhMucDauTu_06029!#REF!),",'Row':",ROW(BCDanhMucDauTu_06029!#REF!),",","'ColDynamic':",COLUMN(BCDanhMucDauTu_06029!#REF!),",","'RowDynamic':",ROW(BCDanhMucDauTu_06029!#REF!),",","'Format':'numberic'",",'Value':'",SUBSTITUTE(BCDanhMucDauTu_06029!#REF!,"'","\'"),"','TargetCode':''}")</f>
        <v>#REF!</v>
      </c>
    </row>
    <row r="360" spans="1:1" x14ac:dyDescent="0.2">
      <c r="A360" t="e">
        <f>CONCATENATE("{'SheetId':'1deb9a6e-dc5a-4908-87cc-034ee9747e20'",",","'UId':'f0171a12-b46c-408e-9769-0674783f4494'",",'Col':",COLUMN(BCDanhMucDauTu_06029!#REF!),",'Row':",ROW(BCDanhMucDauTu_06029!#REF!),",","'ColDynamic':",COLUMN(BCDanhMucDauTu_06029!#REF!),",","'RowDynamic':",ROW(BCDanhMucDauTu_06029!#REF!),",","'Format':'numberic'",",'Value':'",SUBSTITUTE(BCDanhMucDauTu_06029!#REF!,"'","\'"),"','TargetCode':''}")</f>
        <v>#REF!</v>
      </c>
    </row>
    <row r="361" spans="1:1" x14ac:dyDescent="0.2">
      <c r="A361" t="e">
        <f>CONCATENATE("{'SheetId':'1deb9a6e-dc5a-4908-87cc-034ee9747e20'",",","'UId':'123dfcbf-9d8f-4865-9abd-67aef0fb2ded'",",'Col':",COLUMN(BCDanhMucDauTu_06029!#REF!),",'Row':",ROW(BCDanhMucDauTu_06029!#REF!),",","'ColDynamic':",COLUMN(BCDanhMucDauTu_06029!#REF!),",","'RowDynamic':",ROW(BCDanhMucDauTu_06029!#REF!),",","'Format':'numberic'",",'Value':'",SUBSTITUTE(BCDanhMucDauTu_06029!#REF!,"'","\'"),"','TargetCode':''}")</f>
        <v>#REF!</v>
      </c>
    </row>
    <row r="362" spans="1:1" x14ac:dyDescent="0.2">
      <c r="A362" t="e">
        <f>CONCATENATE("{'SheetId':'1deb9a6e-dc5a-4908-87cc-034ee9747e20'",",","'UId':'61c7d7e9-4c4a-4062-8012-4877345d4ca2'",",'Col':",COLUMN(BCDanhMucDauTu_06029!#REF!),",'Row':",ROW(BCDanhMucDauTu_06029!#REF!),",","'Format':'numberic'",",'Value':'",SUBSTITUTE(BCDanhMucDauTu_06029!#REF!,"'","\'"),"','TargetCode':''}")</f>
        <v>#REF!</v>
      </c>
    </row>
    <row r="363" spans="1:1" x14ac:dyDescent="0.2">
      <c r="A363" t="e">
        <f>CONCATENATE("{'SheetId':'1deb9a6e-dc5a-4908-87cc-034ee9747e20'",",","'UId':'55eb1cfc-48db-45d7-badc-9126702dbaca'",",'Col':",COLUMN(BCDanhMucDauTu_06029!#REF!),",'Row':",ROW(BCDanhMucDauTu_06029!#REF!),",","'Format':'numberic'",",'Value':'",SUBSTITUTE(BCDanhMucDauTu_06029!#REF!,"'","\'"),"','TargetCode':''}")</f>
        <v>#REF!</v>
      </c>
    </row>
    <row r="364" spans="1:1" x14ac:dyDescent="0.2">
      <c r="A364" t="e">
        <f>CONCATENATE("{'SheetId':'1deb9a6e-dc5a-4908-87cc-034ee9747e20'",",","'UId':'0b0a71cf-8b1c-4a88-a170-2b7251d20ffa'",",'Col':",COLUMN(BCDanhMucDauTu_06029!#REF!),",'Row':",ROW(BCDanhMucDauTu_06029!#REF!),",","'Format':'numberic'",",'Value':'",SUBSTITUTE(BCDanhMucDauTu_06029!#REF!,"'","\'"),"','TargetCode':''}")</f>
        <v>#REF!</v>
      </c>
    </row>
    <row r="365" spans="1:1" x14ac:dyDescent="0.2">
      <c r="A365" t="e">
        <f>CONCATENATE("{'SheetId':'1deb9a6e-dc5a-4908-87cc-034ee9747e20'",",","'UId':'3ec63538-3a98-477e-b957-0e4550274988'",",'Col':",COLUMN(BCDanhMucDauTu_06029!#REF!),",'Row':",ROW(BCDanhMucDauTu_06029!#REF!),",","'Format':'numberic'",",'Value':'",SUBSTITUTE(BCDanhMucDauTu_06029!#REF!,"'","\'"),"','TargetCode':''}")</f>
        <v>#REF!</v>
      </c>
    </row>
    <row r="366" spans="1:1" x14ac:dyDescent="0.2">
      <c r="A366" t="e">
        <f>CONCATENATE("{'SheetId':'1deb9a6e-dc5a-4908-87cc-034ee9747e20'",",","'UId':'b7e2b881-7166-4008-81ef-36fa655ba0d3'",",'Col':",COLUMN(BCDanhMucDauTu_06029!#REF!),",'Row':",ROW(BCDanhMucDauTu_06029!#REF!),",","'Format':'numberic'",",'Value':'",SUBSTITUTE(BCDanhMucDauTu_06029!#REF!,"'","\'"),"','TargetCode':''}")</f>
        <v>#REF!</v>
      </c>
    </row>
    <row r="367" spans="1:1" x14ac:dyDescent="0.2">
      <c r="A367" t="e">
        <f>CONCATENATE("{'SheetId':'1deb9a6e-dc5a-4908-87cc-034ee9747e20'",",","'UId':'b0198f8c-cffe-4d00-9816-22e0fa96124d'",",'Col':",COLUMN(BCDanhMucDauTu_06029!#REF!),",'Row':",ROW(BCDanhMucDauTu_06029!#REF!),",","'Format':'numberic'",",'Value':'",SUBSTITUTE(BCDanhMucDauTu_06029!#REF!,"'","\'"),"','TargetCode':''}")</f>
        <v>#REF!</v>
      </c>
    </row>
    <row r="368" spans="1:1" x14ac:dyDescent="0.2">
      <c r="A368" t="e">
        <f>CONCATENATE("{'SheetId':'1deb9a6e-dc5a-4908-87cc-034ee9747e20'",",","'UId':'2a23d1c5-766a-4746-bd88-93015d1e4053'",",'Col':",COLUMN(BCDanhMucDauTu_06029!#REF!),",'Row':",ROW(BCDanhMucDauTu_06029!#REF!),",","'Format':'numberic'",",'Value':'",SUBSTITUTE(BCDanhMucDauTu_06029!#REF!,"'","\'"),"','TargetCode':''}")</f>
        <v>#REF!</v>
      </c>
    </row>
    <row r="369" spans="1:1" x14ac:dyDescent="0.2">
      <c r="A369" t="e">
        <f>CONCATENATE("{'SheetId':'1deb9a6e-dc5a-4908-87cc-034ee9747e20'",",","'UId':'ca227d64-7ddf-4c5b-94c2-f07049f1a645'",",'Col':",COLUMN(BCDanhMucDauTu_06029!#REF!),",'Row':",ROW(BCDanhMucDauTu_06029!#REF!),",","'Format':'numberic'",",'Value':'",SUBSTITUTE(BCDanhMucDauTu_06029!#REF!,"'","\'"),"','TargetCode':''}")</f>
        <v>#REF!</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e">
        <f>CONCATENATE("{'SheetId':'eea37401-614e-480f-bf0c-66e62a21c940'",",","'UId':'2cb5da99-e926-44c3-babb-76cea3b3a43b'",",'Col':",COLUMN(Khac_06030!#REF!),",'Row':",ROW(Khac_06030!#REF!),",","'Format':'numberic'",",'Value':'",SUBSTITUTE(Khac_06030!#REF!,"'","\'"),"','TargetCode':''}")</f>
        <v>#REF!</v>
      </c>
    </row>
    <row r="491" spans="1:1" x14ac:dyDescent="0.2">
      <c r="A491" t="e">
        <f>CONCATENATE("{'SheetId':'eea37401-614e-480f-bf0c-66e62a21c940'",",","'UId':'7c4e4da4-6baf-412f-9bfd-8be01487abf1'",",'Col':",COLUMN(Khac_06030!#REF!),",'Row':",ROW(Khac_06030!#REF!),",","'Format':'numberic'",",'Value':'",SUBSTITUTE(Khac_06030!#REF!,"'","\'"),"','TargetCode':''}")</f>
        <v>#REF!</v>
      </c>
    </row>
    <row r="492" spans="1:1" x14ac:dyDescent="0.2">
      <c r="A492" t="e">
        <f>CONCATENATE("{'SheetId':'eea37401-614e-480f-bf0c-66e62a21c940'",",","'UId':'8fe4c321-a5c4-4a50-a26e-af5571876426'",",'Col':",COLUMN(Khac_06030!#REF!),",'Row':",ROW(Khac_06030!#REF!),",","'Format':'numberic'",",'Value':'",SUBSTITUTE(Khac_06030!#REF!,"'","\'"),"','TargetCode':''}")</f>
        <v>#REF!</v>
      </c>
    </row>
    <row r="493" spans="1:1" x14ac:dyDescent="0.2">
      <c r="A493" t="e">
        <f>CONCATENATE("{'SheetId':'eea37401-614e-480f-bf0c-66e62a21c940'",",","'UId':'e505df99-52a5-4046-b588-70e17a64bc04'",",'Col':",COLUMN(Khac_06030!#REF!),",'Row':",ROW(Khac_06030!#REF!),",","'Format':'numberic'",",'Value':'",SUBSTITUTE(Khac_06030!#REF!,"'","\'"),"','TargetCode':''}")</f>
        <v>#REF!</v>
      </c>
    </row>
    <row r="494" spans="1:1" x14ac:dyDescent="0.2">
      <c r="A494" t="e">
        <f>CONCATENATE("{'SheetId':'eea37401-614e-480f-bf0c-66e62a21c940'",",","'UId':'906b49c2-3105-44f5-a32d-07590223a8f2'",",'Col':",COLUMN(Khac_06030!#REF!),",'Row':",ROW(Khac_06030!#REF!),",","'Format':'numberic'",",'Value':'",SUBSTITUTE(Khac_06030!#REF!,"'","\'"),"','TargetCode':''}")</f>
        <v>#REF!</v>
      </c>
    </row>
    <row r="495" spans="1:1" x14ac:dyDescent="0.2">
      <c r="A495" t="e">
        <f>CONCATENATE("{'SheetId':'eea37401-614e-480f-bf0c-66e62a21c940'",",","'UId':'1292eb8e-a778-4ce5-ab53-509a4c8a9832'",",'Col':",COLUMN(Khac_06030!#REF!),",'Row':",ROW(Khac_06030!#REF!),",","'Format':'numberic'",",'Value':'",SUBSTITUTE(Khac_06030!#REF!,"'","\'"),"','TargetCode':''}")</f>
        <v>#REF!</v>
      </c>
    </row>
    <row r="496" spans="1:1" x14ac:dyDescent="0.2">
      <c r="A496" t="e">
        <f>CONCATENATE("{'SheetId':'eea37401-614e-480f-bf0c-66e62a21c940'",",","'UId':'043b7f89-a817-4764-b06f-cc2a71ce03b0'",",'Col':",COLUMN(Khac_06030!#REF!),",'Row':",ROW(Khac_06030!#REF!),",","'Format':'numberic'",",'Value':'",SUBSTITUTE(Khac_06030!#REF!,"'","\'"),"','TargetCode':''}")</f>
        <v>#REF!</v>
      </c>
    </row>
    <row r="497" spans="1:1" x14ac:dyDescent="0.2">
      <c r="A497" t="e">
        <f>CONCATENATE("{'SheetId':'eea37401-614e-480f-bf0c-66e62a21c940'",",","'UId':'99e0f9cc-8606-43f9-8ce6-a58dc892af79'",",'Col':",COLUMN(Khac_06030!#REF!),",'Row':",ROW(Khac_06030!#REF!),",","'Format':'numberic'",",'Value':'",SUBSTITUTE(Khac_06030!#REF!,"'","\'"),"','TargetCode':''}")</f>
        <v>#REF!</v>
      </c>
    </row>
    <row r="498" spans="1:1" x14ac:dyDescent="0.2">
      <c r="A498" t="e">
        <f>CONCATENATE("{'SheetId':'eea37401-614e-480f-bf0c-66e62a21c940'",",","'UId':'5a5a30c0-7249-46cc-a3d5-6518c7410f2b'",",'Col':",COLUMN(Khac_06030!#REF!),",'Row':",ROW(Khac_06030!#REF!),",","'Format':'numberic'",",'Value':'",SUBSTITUTE(Khac_06030!#REF!,"'","\'"),"','TargetCode':''}")</f>
        <v>#REF!</v>
      </c>
    </row>
    <row r="499" spans="1:1" x14ac:dyDescent="0.2">
      <c r="A499" t="e">
        <f>CONCATENATE("{'SheetId':'eea37401-614e-480f-bf0c-66e62a21c940'",",","'UId':'b6bb9469-63ab-4fda-88bd-7b1865b669bf'",",'Col':",COLUMN(Khac_06030!#REF!),",'Row':",ROW(Khac_06030!#REF!),",","'Format':'numberic'",",'Value':'",SUBSTITUTE(Khac_06030!#REF!,"'","\'"),"','TargetCode':''}")</f>
        <v>#REF!</v>
      </c>
    </row>
    <row r="500" spans="1:1" x14ac:dyDescent="0.2">
      <c r="A500" t="e">
        <f>CONCATENATE("{'SheetId':'eea37401-614e-480f-bf0c-66e62a21c940'",",","'UId':'2364cc6c-48ac-4fcc-8342-fb9e93c37eca'",",'Col':",COLUMN(Khac_06030!#REF!),",'Row':",ROW(Khac_06030!#REF!),",","'Format':'numberic'",",'Value':'",SUBSTITUTE(Khac_06030!#REF!,"'","\'"),"','TargetCode':''}")</f>
        <v>#REF!</v>
      </c>
    </row>
    <row r="501" spans="1:1" x14ac:dyDescent="0.2">
      <c r="A501" t="e">
        <f>CONCATENATE("{'SheetId':'eea37401-614e-480f-bf0c-66e62a21c940'",",","'UId':'846eb19c-92cf-4ff5-adb0-f49d54d07bf5'",",'Col':",COLUMN(Khac_06030!#REF!),",'Row':",ROW(Khac_06030!#REF!),",","'Format':'numberic'",",'Value':'",SUBSTITUTE(Khac_06030!#REF!,"'","\'"),"','TargetCode':''}")</f>
        <v>#REF!</v>
      </c>
    </row>
    <row r="502" spans="1:1" x14ac:dyDescent="0.2">
      <c r="A502" t="e">
        <f>CONCATENATE("{'SheetId':'eea37401-614e-480f-bf0c-66e62a21c940'",",","'UId':'8c0b0b85-5f8d-49d6-bad0-be36c3870562'",",'Col':",COLUMN(Khac_06030!#REF!),",'Row':",ROW(Khac_06030!#REF!),",","'Format':'numberic'",",'Value':'",SUBSTITUTE(Khac_06030!#REF!,"'","\'"),"','TargetCode':''}")</f>
        <v>#REF!</v>
      </c>
    </row>
    <row r="503" spans="1:1" x14ac:dyDescent="0.2">
      <c r="A503" t="e">
        <f>CONCATENATE("{'SheetId':'eea37401-614e-480f-bf0c-66e62a21c940'",",","'UId':'bb393f9e-a64c-46b1-a141-e32109975ac2'",",'Col':",COLUMN(Khac_06030!#REF!),",'Row':",ROW(Khac_06030!#REF!),",","'Format':'numberic'",",'Value':'",SUBSTITUTE(Khac_06030!#REF!,"'","\'"),"','TargetCode':''}")</f>
        <v>#REF!</v>
      </c>
    </row>
    <row r="504" spans="1:1" x14ac:dyDescent="0.2">
      <c r="A504" t="e">
        <f>CONCATENATE("{'SheetId':'eea37401-614e-480f-bf0c-66e62a21c940'",",","'UId':'e3f08122-3427-41af-b11b-1a46844a64fc'",",'Col':",COLUMN(Khac_06030!#REF!),",'Row':",ROW(Khac_06030!#REF!),",","'Format':'numberic'",",'Value':'",SUBSTITUTE(Khac_06030!#REF!,"'","\'"),"','TargetCode':''}")</f>
        <v>#REF!</v>
      </c>
    </row>
    <row r="505" spans="1:1" x14ac:dyDescent="0.2">
      <c r="A505" t="e">
        <f>CONCATENATE("{'SheetId':'eea37401-614e-480f-bf0c-66e62a21c940'",",","'UId':'9e68654a-171d-4fbe-8c69-6a6d18753f97'",",'Col':",COLUMN(Khac_06030!#REF!),",'Row':",ROW(Khac_06030!#REF!),",","'Format':'numberic'",",'Value':'",SUBSTITUTE(Khac_06030!#REF!,"'","\'"),"','TargetCode':''}")</f>
        <v>#REF!</v>
      </c>
    </row>
    <row r="506" spans="1:1" x14ac:dyDescent="0.2">
      <c r="A506" t="e">
        <f>CONCATENATE("{'SheetId':'eea37401-614e-480f-bf0c-66e62a21c940'",",","'UId':'01528f3a-d80f-403f-9e7e-01c54429c341'",",'Col':",COLUMN(Khac_06030!#REF!),",'Row':",ROW(Khac_06030!#REF!),",","'Format':'numberic'",",'Value':'",SUBSTITUTE(Khac_06030!#REF!,"'","\'"),"','TargetCode':''}")</f>
        <v>#REF!</v>
      </c>
    </row>
    <row r="507" spans="1:1" x14ac:dyDescent="0.2">
      <c r="A507" t="e">
        <f>CONCATENATE("{'SheetId':'eea37401-614e-480f-bf0c-66e62a21c940'",",","'UId':'2e9dd82c-3e13-4dfb-9508-7eb62f82b7a5'",",'Col':",COLUMN(Khac_06030!#REF!),",'Row':",ROW(Khac_06030!#REF!),",","'Format':'numberic'",",'Value':'",SUBSTITUTE(Khac_06030!#REF!,"'","\'"),"','TargetCode':''}")</f>
        <v>#REF!</v>
      </c>
    </row>
    <row r="508" spans="1:1" x14ac:dyDescent="0.2">
      <c r="A508" t="e">
        <f>CONCATENATE("{'SheetId':'eea37401-614e-480f-bf0c-66e62a21c940'",",","'UId':'e04710a4-564b-4804-a3c9-8b96b736ccd0'",",'Col':",COLUMN(Khac_06030!#REF!),",'Row':",ROW(Khac_06030!#REF!),",","'Format':'numberic'",",'Value':'",SUBSTITUTE(Khac_06030!#REF!,"'","\'"),"','TargetCode':''}")</f>
        <v>#REF!</v>
      </c>
    </row>
    <row r="509" spans="1:1" x14ac:dyDescent="0.2">
      <c r="A509" t="e">
        <f>CONCATENATE("{'SheetId':'eea37401-614e-480f-bf0c-66e62a21c940'",",","'UId':'0421496e-49be-42f6-bd5e-4ff79e46d605'",",'Col':",COLUMN(Khac_06030!#REF!),",'Row':",ROW(Khac_06030!#REF!),",","'Format':'numberic'",",'Value':'",SUBSTITUTE(Khac_06030!#REF!,"'","\'"),"','TargetCode':''}")</f>
        <v>#REF!</v>
      </c>
    </row>
    <row r="510" spans="1:1" x14ac:dyDescent="0.2">
      <c r="A510" t="e">
        <f>CONCATENATE("{'SheetId':'eea37401-614e-480f-bf0c-66e62a21c940'",",","'UId':'45a764b8-acae-4b58-840f-deaf1d1de47b'",",'Col':",COLUMN(Khac_06030!#REF!),",'Row':",ROW(Khac_06030!#REF!),",","'Format':'numberic'",",'Value':'",SUBSTITUTE(Khac_06030!#REF!,"'","\'"),"','TargetCode':''}")</f>
        <v>#REF!</v>
      </c>
    </row>
    <row r="511" spans="1:1" x14ac:dyDescent="0.2">
      <c r="A511" t="e">
        <f>CONCATENATE("{'SheetId':'eea37401-614e-480f-bf0c-66e62a21c940'",",","'UId':'6cb8b600-0d8d-4b7a-b02f-2b7f25f78f7c'",",'Col':",COLUMN(Khac_06030!#REF!),",'Row':",ROW(Khac_06030!#REF!),",","'Format':'numberic'",",'Value':'",SUBSTITUTE(Khac_06030!#REF!,"'","\'"),"','TargetCode':''}")</f>
        <v>#REF!</v>
      </c>
    </row>
    <row r="512" spans="1:1" x14ac:dyDescent="0.2">
      <c r="A512" t="e">
        <f>CONCATENATE("{'SheetId':'eea37401-614e-480f-bf0c-66e62a21c940'",",","'UId':'f8191a14-dbd3-4ec9-a90d-dfaa4d356bed'",",'Col':",COLUMN(Khac_06030!#REF!),",'Row':",ROW(Khac_06030!#REF!),",","'Format':'numberic'",",'Value':'",SUBSTITUTE(Khac_06030!#REF!,"'","\'"),"','TargetCode':''}")</f>
        <v>#REF!</v>
      </c>
    </row>
    <row r="513" spans="1:1" x14ac:dyDescent="0.2">
      <c r="A513" t="e">
        <f>CONCATENATE("{'SheetId':'eea37401-614e-480f-bf0c-66e62a21c940'",",","'UId':'6283410f-0a55-4a79-8d92-1d2c2515f0fc'",",'Col':",COLUMN(Khac_06030!#REF!),",'Row':",ROW(Khac_06030!#REF!),",","'Format':'numberic'",",'Value':'",SUBSTITUTE(Khac_06030!#REF!,"'","\'"),"','TargetCode':''}")</f>
        <v>#REF!</v>
      </c>
    </row>
    <row r="514" spans="1:1" x14ac:dyDescent="0.2">
      <c r="A514" t="e">
        <f>CONCATENATE("{'SheetId':'eea37401-614e-480f-bf0c-66e62a21c940'",",","'UId':'759e81e7-6be1-448f-8880-c7fb179e0f97'",",'Col':",COLUMN(Khac_06030!#REF!),",'Row':",ROW(Khac_06030!#REF!),",","'Format':'numberic'",",'Value':'",SUBSTITUTE(Khac_06030!#REF!,"'","\'"),"','TargetCode':''}")</f>
        <v>#REF!</v>
      </c>
    </row>
    <row r="515" spans="1:1" x14ac:dyDescent="0.2">
      <c r="A515" t="e">
        <f>CONCATENATE("{'SheetId':'eea37401-614e-480f-bf0c-66e62a21c940'",",","'UId':'d55f381c-544c-4c22-a6c9-f44d9ae2c1ab'",",'Col':",COLUMN(Khac_06030!#REF!),",'Row':",ROW(Khac_06030!#REF!),",","'Format':'numberic'",",'Value':'",SUBSTITUTE(Khac_06030!#REF!,"'","\'"),"','TargetCode':''}")</f>
        <v>#REF!</v>
      </c>
    </row>
    <row r="516" spans="1:1" x14ac:dyDescent="0.2">
      <c r="A516" t="e">
        <f>CONCATENATE("{'SheetId':'eea37401-614e-480f-bf0c-66e62a21c940'",",","'UId':'5b9de7f0-70a7-42bf-94c8-d94c81c70e42'",",'Col':",COLUMN(Khac_06030!#REF!),",'Row':",ROW(Khac_06030!#REF!),",","'Format':'numberic'",",'Value':'",SUBSTITUTE(Khac_06030!#REF!,"'","\'"),"','TargetCode':''}")</f>
        <v>#REF!</v>
      </c>
    </row>
    <row r="517" spans="1:1" x14ac:dyDescent="0.2">
      <c r="A517" t="e">
        <f>CONCATENATE("{'SheetId':'eea37401-614e-480f-bf0c-66e62a21c940'",",","'UId':'85d68133-b410-4986-a2ae-00da0ca256bd'",",'Col':",COLUMN(Khac_06030!#REF!),",'Row':",ROW(Khac_06030!#REF!),",","'Format':'numberic'",",'Value':'",SUBSTITUTE(Khac_06030!#REF!,"'","\'"),"','TargetCode':''}")</f>
        <v>#REF!</v>
      </c>
    </row>
    <row r="518" spans="1:1" x14ac:dyDescent="0.2">
      <c r="A518" t="e">
        <f>CONCATENATE("{'SheetId':'eea37401-614e-480f-bf0c-66e62a21c940'",",","'UId':'31f6ac2c-5e3e-4a12-b200-cf5f834a027b'",",'Col':",COLUMN(Khac_06030!#REF!),",'Row':",ROW(Khac_06030!#REF!),",","'Format':'numberic'",",'Value':'",SUBSTITUTE(Khac_06030!#REF!,"'","\'"),"','TargetCode':''}")</f>
        <v>#REF!</v>
      </c>
    </row>
    <row r="519" spans="1:1" x14ac:dyDescent="0.2">
      <c r="A519" t="e">
        <f>CONCATENATE("{'SheetId':'eea37401-614e-480f-bf0c-66e62a21c940'",",","'UId':'e12c39c4-7956-414a-b632-d0af1c2ab599'",",'Col':",COLUMN(Khac_06030!#REF!),",'Row':",ROW(Khac_06030!#REF!),",","'Format':'numberic'",",'Value':'",SUBSTITUTE(Khac_06030!#REF!,"'","\'"),"','TargetCode':''}")</f>
        <v>#REF!</v>
      </c>
    </row>
    <row r="520" spans="1:1" x14ac:dyDescent="0.2">
      <c r="A520" t="e">
        <f>CONCATENATE("{'SheetId':'eea37401-614e-480f-bf0c-66e62a21c940'",",","'UId':'b08c24e4-4516-482b-a697-9d62ff87afcf'",",'Col':",COLUMN(Khac_06030!#REF!),",'Row':",ROW(Khac_06030!#REF!),",","'Format':'numberic'",",'Value':'",SUBSTITUTE(Khac_06030!#REF!,"'","\'"),"','TargetCode':''}")</f>
        <v>#REF!</v>
      </c>
    </row>
    <row r="521" spans="1:1" x14ac:dyDescent="0.2">
      <c r="A521" t="e">
        <f>CONCATENATE("{'SheetId':'eea37401-614e-480f-bf0c-66e62a21c940'",",","'UId':'a7ccfa80-7e7d-4308-b36d-abc719c80bf3'",",'Col':",COLUMN(Khac_06030!#REF!),",'Row':",ROW(Khac_06030!#REF!),",","'Format':'numberic'",",'Value':'",SUBSTITUTE(Khac_06030!#REF!,"'","\'"),"','TargetCode':''}")</f>
        <v>#REF!</v>
      </c>
    </row>
    <row r="522" spans="1:1" x14ac:dyDescent="0.2">
      <c r="A522" t="e">
        <f>CONCATENATE("{'SheetId':'eea37401-614e-480f-bf0c-66e62a21c940'",",","'UId':'e8ec4ef9-08e4-4e39-8477-ae21a99e8959'",",'Col':",COLUMN(Khac_06030!#REF!),",'Row':",ROW(Khac_06030!#REF!),",","'Format':'numberic'",",'Value':'",SUBSTITUTE(Khac_06030!#REF!,"'","\'"),"','TargetCode':''}")</f>
        <v>#REF!</v>
      </c>
    </row>
    <row r="523" spans="1:1" x14ac:dyDescent="0.2">
      <c r="A523" t="e">
        <f>CONCATENATE("{'SheetId':'eea37401-614e-480f-bf0c-66e62a21c940'",",","'UId':'dde8a5b2-e9c7-4f1b-a63c-0174479280ef'",",'Col':",COLUMN(Khac_06030!#REF!),",'Row':",ROW(Khac_06030!#REF!),",","'Format':'numberic'",",'Value':'",SUBSTITUTE(Khac_06030!#REF!,"'","\'"),"','TargetCode':''}")</f>
        <v>#REF!</v>
      </c>
    </row>
    <row r="524" spans="1:1" x14ac:dyDescent="0.2">
      <c r="A524" t="e">
        <f>CONCATENATE("{'SheetId':'eea37401-614e-480f-bf0c-66e62a21c940'",",","'UId':'0e4c1db2-c20e-4d52-853c-271375cc313a'",",'Col':",COLUMN(Khac_06030!#REF!),",'Row':",ROW(Khac_06030!#REF!),",","'Format':'numberic'",",'Value':'",SUBSTITUTE(Khac_06030!#REF!,"'","\'"),"','TargetCode':''}")</f>
        <v>#REF!</v>
      </c>
    </row>
    <row r="525" spans="1:1" x14ac:dyDescent="0.2">
      <c r="A525" t="e">
        <f>CONCATENATE("{'SheetId':'eea37401-614e-480f-bf0c-66e62a21c940'",",","'UId':'12f0bb36-f2e3-462a-b5c8-133ec8de4536'",",'Col':",COLUMN(Khac_06030!#REF!),",'Row':",ROW(Khac_06030!#REF!),",","'Format':'numberic'",",'Value':'",SUBSTITUTE(Khac_06030!#REF!,"'","\'"),"','TargetCode':''}")</f>
        <v>#REF!</v>
      </c>
    </row>
    <row r="526" spans="1:1" x14ac:dyDescent="0.2">
      <c r="A526" t="e">
        <f>CONCATENATE("{'SheetId':'eea37401-614e-480f-bf0c-66e62a21c940'",",","'UId':'99c017fe-183e-4244-a2e8-3180fad52922'",",'Col':",COLUMN(Khac_06030!#REF!),",'Row':",ROW(Khac_06030!#REF!),",","'Format':'numberic'",",'Value':'",SUBSTITUTE(Khac_06030!#REF!,"'","\'"),"','TargetCode':''}")</f>
        <v>#REF!</v>
      </c>
    </row>
    <row r="527" spans="1:1" x14ac:dyDescent="0.2">
      <c r="A527" t="e">
        <f>CONCATENATE("{'SheetId':'eea37401-614e-480f-bf0c-66e62a21c940'",",","'UId':'b3b6a8fb-5b81-4dc7-b0e6-531f207f2848'",",'Col':",COLUMN(Khac_06030!#REF!),",'Row':",ROW(Khac_06030!#REF!),",","'Format':'numberic'",",'Value':'",SUBSTITUTE(Khac_06030!#REF!,"'","\'"),"','TargetCode':''}")</f>
        <v>#REF!</v>
      </c>
    </row>
    <row r="528" spans="1:1" x14ac:dyDescent="0.2">
      <c r="A528" t="e">
        <f>CONCATENATE("{'SheetId':'eea37401-614e-480f-bf0c-66e62a21c940'",",","'UId':'d7299fb4-5fbd-49ea-a765-7a162fd18f1e'",",'Col':",COLUMN(Khac_06030!#REF!),",'Row':",ROW(Khac_06030!#REF!),",","'Format':'numberic'",",'Value':'",SUBSTITUTE(Khac_06030!#REF!,"'","\'"),"','TargetCode':''}")</f>
        <v>#REF!</v>
      </c>
    </row>
    <row r="529" spans="1:1" x14ac:dyDescent="0.2">
      <c r="A529" t="e">
        <f>CONCATENATE("{'SheetId':'eea37401-614e-480f-bf0c-66e62a21c940'",",","'UId':'15c659ac-ac36-4f95-b662-8fcd6067cf35'",",'Col':",COLUMN(Khac_06030!#REF!),",'Row':",ROW(Khac_06030!#REF!),",","'Format':'numberic'",",'Value':'",SUBSTITUTE(Khac_06030!#REF!,"'","\'"),"','TargetCode':''}")</f>
        <v>#REF!</v>
      </c>
    </row>
    <row r="530" spans="1:1" x14ac:dyDescent="0.2">
      <c r="A530" t="e">
        <f>CONCATENATE("{'SheetId':'eea37401-614e-480f-bf0c-66e62a21c940'",",","'UId':'232e2092-5dcd-464b-b1fe-07f27efe2d21'",",'Col':",COLUMN(Khac_06030!#REF!),",'Row':",ROW(Khac_06030!#REF!),",","'Format':'numberic'",",'Value':'",SUBSTITUTE(Khac_06030!#REF!,"'","\'"),"','TargetCode':''}")</f>
        <v>#REF!</v>
      </c>
    </row>
    <row r="531" spans="1:1" x14ac:dyDescent="0.2">
      <c r="A531" t="e">
        <f>CONCATENATE("{'SheetId':'eea37401-614e-480f-bf0c-66e62a21c940'",",","'UId':'fa41f074-2315-4e28-81ff-52700c300177'",",'Col':",COLUMN(Khac_06030!#REF!),",'Row':",ROW(Khac_06030!#REF!),",","'Format':'numberic'",",'Value':'",SUBSTITUTE(Khac_06030!#REF!,"'","\'"),"','TargetCode':''}")</f>
        <v>#REF!</v>
      </c>
    </row>
    <row r="532" spans="1:1" x14ac:dyDescent="0.2">
      <c r="A532" t="e">
        <f>CONCATENATE("{'SheetId':'eea37401-614e-480f-bf0c-66e62a21c940'",",","'UId':'d8289881-c7ab-468c-ad5d-bf473cb76780'",",'Col':",COLUMN(Khac_06030!#REF!),",'Row':",ROW(Khac_06030!#REF!),",","'Format':'numberic'",",'Value':'",SUBSTITUTE(Khac_06030!#REF!,"'","\'"),"','TargetCode':''}")</f>
        <v>#REF!</v>
      </c>
    </row>
    <row r="533" spans="1:1" x14ac:dyDescent="0.2">
      <c r="A533" t="e">
        <f>CONCATENATE("{'SheetId':'eea37401-614e-480f-bf0c-66e62a21c940'",",","'UId':'994ed5e1-c943-4620-8991-d05a125691b0'",",'Col':",COLUMN(Khac_06030!#REF!),",'Row':",ROW(Khac_06030!#REF!),",","'Format':'numberic'",",'Value':'",SUBSTITUTE(Khac_06030!#REF!,"'","\'"),"','TargetCode':''}")</f>
        <v>#REF!</v>
      </c>
    </row>
    <row r="534" spans="1:1" x14ac:dyDescent="0.2">
      <c r="A534" t="e">
        <f>CONCATENATE("{'SheetId':'eea37401-614e-480f-bf0c-66e62a21c940'",",","'UId':'7120d041-84df-4b71-aa97-9c53b5ab7f97'",",'Col':",COLUMN(Khac_06030!#REF!),",'Row':",ROW(Khac_06030!#REF!),",","'Format':'numberic'",",'Value':'",SUBSTITUTE(Khac_06030!#REF!,"'","\'"),"','TargetCode':''}")</f>
        <v>#REF!</v>
      </c>
    </row>
    <row r="535" spans="1:1" x14ac:dyDescent="0.2">
      <c r="A535" t="e">
        <f>CONCATENATE("{'SheetId':'eea37401-614e-480f-bf0c-66e62a21c940'",",","'UId':'ee5817e5-5c8c-481c-bd88-acd0b7e7eb64'",",'Col':",COLUMN(Khac_06030!#REF!),",'Row':",ROW(Khac_06030!#REF!),",","'Format':'numberic'",",'Value':'",SUBSTITUTE(Khac_06030!#REF!,"'","\'"),"','TargetCode':''}")</f>
        <v>#REF!</v>
      </c>
    </row>
    <row r="536" spans="1:1" x14ac:dyDescent="0.2">
      <c r="A536" t="e">
        <f>CONCATENATE("{'SheetId':'eea37401-614e-480f-bf0c-66e62a21c940'",",","'UId':'83b16c86-f622-444a-8fd4-b601d346c031'",",'Col':",COLUMN(Khac_06030!#REF!),",'Row':",ROW(Khac_06030!#REF!),",","'Format':'percentage'",",'Value':'",SUBSTITUTE(Khac_06030!#REF!,"'","\'"),"','TargetCode':''}")</f>
        <v>#REF!</v>
      </c>
    </row>
    <row r="537" spans="1:1" x14ac:dyDescent="0.2">
      <c r="A537" t="e">
        <f>CONCATENATE("{'SheetId':'eea37401-614e-480f-bf0c-66e62a21c940'",",","'UId':'6080a665-802c-4b21-ade4-e67d42c38ace'",",'Col':",COLUMN(Khac_06030!#REF!),",'Row':",ROW(Khac_06030!#REF!),",","'Format':'percentage'",",'Value':'",SUBSTITUTE(Khac_06030!#REF!,"'","\'"),"','TargetCode':''}")</f>
        <v>#REF!</v>
      </c>
    </row>
    <row r="538" spans="1:1" x14ac:dyDescent="0.2">
      <c r="A538" t="e">
        <f>CONCATENATE("{'SheetId':'eea37401-614e-480f-bf0c-66e62a21c940'",",","'UId':'dc7a563a-ad1d-4847-ad52-60ae8b13af41'",",'Col':",COLUMN(Khac_06030!#REF!),",'Row':",ROW(Khac_06030!#REF!),",","'Format':'percentage'",",'Value':'",SUBSTITUTE(Khac_06030!#REF!,"'","\'"),"','TargetCode':''}")</f>
        <v>#REF!</v>
      </c>
    </row>
    <row r="539" spans="1:1" x14ac:dyDescent="0.2">
      <c r="A539" t="e">
        <f>CONCATENATE("{'SheetId':'eea37401-614e-480f-bf0c-66e62a21c940'",",","'UId':'c291a5ad-47fa-4a53-a5d4-2c97806fed49'",",'Col':",COLUMN(Khac_06030!#REF!),",'Row':",ROW(Khac_06030!#REF!),",","'Format':'percentage'",",'Value':'",SUBSTITUTE(Khac_06030!#REF!,"'","\'"),"','TargetCode':''}")</f>
        <v>#REF!</v>
      </c>
    </row>
    <row r="540" spans="1:1" x14ac:dyDescent="0.2">
      <c r="A540" t="e">
        <f>CONCATENATE("{'SheetId':'eea37401-614e-480f-bf0c-66e62a21c940'",",","'UId':'71e817fa-136e-4e66-8e01-e228a752c25d'",",'Col':",COLUMN(Khac_06030!#REF!),",'Row':",ROW(Khac_06030!#REF!),",","'Format':'percentage'",",'Value':'",SUBSTITUTE(Khac_06030!#REF!,"'","\'"),"','TargetCode':''}")</f>
        <v>#REF!</v>
      </c>
    </row>
    <row r="541" spans="1:1" x14ac:dyDescent="0.2">
      <c r="A541" t="e">
        <f>CONCATENATE("{'SheetId':'eea37401-614e-480f-bf0c-66e62a21c940'",",","'UId':'09a70799-3c67-42d0-9f37-8841480fa73f'",",'Col':",COLUMN(Khac_06030!#REF!),",'Row':",ROW(Khac_06030!#REF!),",","'Format':'percentage'",",'Value':'",SUBSTITUTE(Khac_06030!#REF!,"'","\'"),"','TargetCode':''}")</f>
        <v>#REF!</v>
      </c>
    </row>
    <row r="542" spans="1:1" x14ac:dyDescent="0.2">
      <c r="A542" t="e">
        <f>CONCATENATE("{'SheetId':'eea37401-614e-480f-bf0c-66e62a21c940'",",","'UId':'19d7d32d-f72f-4744-9b80-66561ae1073a'",",'Col':",COLUMN(Khac_06030!#REF!),",'Row':",ROW(Khac_06030!#REF!),",","'Format':'numberic'",",'Value':'",SUBSTITUTE(Khac_06030!#REF!,"'","\'"),"','TargetCode':''}")</f>
        <v>#REF!</v>
      </c>
    </row>
    <row r="543" spans="1:1" x14ac:dyDescent="0.2">
      <c r="A543" t="e">
        <f>CONCATENATE("{'SheetId':'eea37401-614e-480f-bf0c-66e62a21c940'",",","'UId':'2c2fe24e-69d3-4ae8-a8c8-c603f2a4a32c'",",'Col':",COLUMN(Khac_06030!#REF!),",'Row':",ROW(Khac_06030!#REF!),",","'Format':'numberic'",",'Value':'",SUBSTITUTE(Khac_06030!#REF!,"'","\'"),"','TargetCode':''}")</f>
        <v>#REF!</v>
      </c>
    </row>
    <row r="544" spans="1:1" x14ac:dyDescent="0.2">
      <c r="A544" t="e">
        <f>CONCATENATE("{'SheetId':'eea37401-614e-480f-bf0c-66e62a21c940'",",","'UId':'507c37af-0901-43e1-8af6-f40112c246e3'",",'Col':",COLUMN(Khac_06030!#REF!),",'Row':",ROW(Khac_06030!#REF!),",","'Format':'numberic'",",'Value':'",SUBSTITUTE(Khac_06030!#REF!,"'","\'"),"','TargetCode':''}")</f>
        <v>#REF!</v>
      </c>
    </row>
    <row r="545" spans="1:1" x14ac:dyDescent="0.2">
      <c r="A545" t="e">
        <f>CONCATENATE("{'SheetId':'eea37401-614e-480f-bf0c-66e62a21c940'",",","'UId':'bb1a5a18-9ac0-4a7c-9c34-d6fbecc14baf'",",'Col':",COLUMN(Khac_06030!#REF!),",'Row':",ROW(Khac_06030!#REF!),",","'Format':'numberic'",",'Value':'",SUBSTITUTE(Khac_06030!#REF!,"'","\'"),"','TargetCode':''}")</f>
        <v>#REF!</v>
      </c>
    </row>
    <row r="546" spans="1:1" x14ac:dyDescent="0.2">
      <c r="A546" t="e">
        <f>CONCATENATE("{'SheetId':'eea37401-614e-480f-bf0c-66e62a21c940'",",","'UId':'e0a95b06-33a2-448e-b102-215547d28c30'",",'Col':",COLUMN(Khac_06030!#REF!),",'Row':",ROW(Khac_06030!#REF!),",","'Format':'numberic'",",'Value':'",SUBSTITUTE(Khac_06030!#REF!,"'","\'"),"','TargetCode':''}")</f>
        <v>#REF!</v>
      </c>
    </row>
    <row r="547" spans="1:1" x14ac:dyDescent="0.2">
      <c r="A547" t="e">
        <f>CONCATENATE("{'SheetId':'eea37401-614e-480f-bf0c-66e62a21c940'",",","'UId':'1b6eb586-627f-4c6c-b46c-efd6d6371902'",",'Col':",COLUMN(Khac_06030!#REF!),",'Row':",ROW(Khac_06030!#REF!),",","'Format':'numberic'",",'Value':'",SUBSTITUTE(Khac_06030!#REF!,"'","\'"),"','TargetCode':''}")</f>
        <v>#REF!</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B324"/>
  <sheetViews>
    <sheetView zoomScaleNormal="100" workbookViewId="0">
      <selection activeCell="B3" sqref="B3"/>
    </sheetView>
  </sheetViews>
  <sheetFormatPr defaultColWidth="9.140625" defaultRowHeight="14.25" x14ac:dyDescent="0.2"/>
  <cols>
    <col min="1" max="1" width="9.140625" style="22"/>
    <col min="2" max="2" width="57.42578125" style="22" customWidth="1"/>
    <col min="3" max="3" width="11" style="22" bestFit="1" customWidth="1"/>
    <col min="4" max="4" width="26.42578125" style="46" customWidth="1"/>
    <col min="5" max="5" width="24.5703125" style="46" customWidth="1"/>
    <col min="6" max="6" width="16.85546875" style="22" customWidth="1"/>
    <col min="7" max="7" width="16.85546875" style="22" hidden="1" customWidth="1"/>
    <col min="8" max="8" width="19" style="22" hidden="1" customWidth="1"/>
    <col min="9" max="9" width="18" style="22" hidden="1" customWidth="1"/>
    <col min="10" max="10" width="7.85546875" style="22" hidden="1" customWidth="1"/>
    <col min="11" max="11" width="22.140625" style="45" hidden="1" customWidth="1"/>
    <col min="12" max="12" width="16.42578125" style="106" bestFit="1" customWidth="1"/>
    <col min="13" max="27" width="9.140625" style="106"/>
    <col min="28" max="16384" width="9.140625" style="22"/>
  </cols>
  <sheetData>
    <row r="1" spans="1:27" ht="56.25" customHeight="1" x14ac:dyDescent="0.2">
      <c r="A1" s="112" t="s">
        <v>438</v>
      </c>
      <c r="B1" s="112" t="s">
        <v>228</v>
      </c>
      <c r="C1" s="112" t="s">
        <v>229</v>
      </c>
      <c r="D1" s="146" t="s">
        <v>512</v>
      </c>
      <c r="E1" s="146" t="s">
        <v>509</v>
      </c>
      <c r="F1" s="12" t="s">
        <v>230</v>
      </c>
      <c r="G1" s="23"/>
      <c r="K1" s="24" t="s">
        <v>423</v>
      </c>
      <c r="L1" s="22"/>
      <c r="M1" s="22"/>
      <c r="N1" s="22"/>
      <c r="O1" s="22"/>
      <c r="P1" s="22"/>
      <c r="Q1" s="22"/>
      <c r="R1" s="22"/>
      <c r="S1" s="22"/>
      <c r="T1" s="22"/>
      <c r="U1" s="22"/>
      <c r="V1" s="22"/>
      <c r="W1" s="22"/>
      <c r="X1" s="22"/>
      <c r="Y1" s="22"/>
      <c r="Z1" s="22"/>
      <c r="AA1" s="22"/>
    </row>
    <row r="2" spans="1:27" ht="39" customHeight="1" x14ac:dyDescent="0.2">
      <c r="A2" s="13" t="s">
        <v>56</v>
      </c>
      <c r="B2" s="113" t="s">
        <v>231</v>
      </c>
      <c r="C2" s="114" t="s">
        <v>58</v>
      </c>
      <c r="D2" s="14"/>
      <c r="E2" s="15"/>
      <c r="F2" s="15"/>
      <c r="G2" s="25"/>
      <c r="K2" s="26">
        <v>0</v>
      </c>
      <c r="L2" s="22"/>
      <c r="M2" s="22"/>
      <c r="N2" s="22"/>
      <c r="O2" s="22"/>
      <c r="P2" s="22"/>
      <c r="Q2" s="22"/>
      <c r="R2" s="22"/>
      <c r="S2" s="22"/>
      <c r="T2" s="22"/>
      <c r="U2" s="22"/>
      <c r="V2" s="22"/>
      <c r="W2" s="22"/>
      <c r="X2" s="22"/>
      <c r="Y2" s="22"/>
      <c r="Z2" s="22"/>
      <c r="AA2" s="22"/>
    </row>
    <row r="3" spans="1:27" ht="39" customHeight="1" x14ac:dyDescent="0.2">
      <c r="A3" s="16" t="s">
        <v>59</v>
      </c>
      <c r="B3" s="115" t="s">
        <v>232</v>
      </c>
      <c r="C3" s="123" t="s">
        <v>61</v>
      </c>
      <c r="D3" s="110">
        <v>5581921148</v>
      </c>
      <c r="E3" s="147">
        <v>6425260662</v>
      </c>
      <c r="F3" s="109">
        <v>0</v>
      </c>
      <c r="G3" s="27"/>
      <c r="K3" s="26">
        <v>18924296298</v>
      </c>
      <c r="L3" s="22"/>
      <c r="M3" s="22"/>
      <c r="N3" s="22"/>
      <c r="O3" s="22"/>
      <c r="P3" s="22"/>
      <c r="Q3" s="22"/>
      <c r="R3" s="22"/>
      <c r="S3" s="22"/>
      <c r="T3" s="22"/>
      <c r="U3" s="22"/>
      <c r="V3" s="22"/>
      <c r="W3" s="22"/>
      <c r="X3" s="22"/>
      <c r="Y3" s="22"/>
      <c r="Z3" s="22"/>
      <c r="AA3" s="22"/>
    </row>
    <row r="4" spans="1:27" ht="39" customHeight="1" x14ac:dyDescent="0.2">
      <c r="A4" s="74"/>
      <c r="B4" s="148" t="s">
        <v>233</v>
      </c>
      <c r="C4" s="116" t="s">
        <v>62</v>
      </c>
      <c r="D4" s="109">
        <v>0</v>
      </c>
      <c r="E4" s="149">
        <v>0</v>
      </c>
      <c r="F4" s="109">
        <v>0</v>
      </c>
      <c r="G4" s="28"/>
      <c r="K4" s="26">
        <v>0</v>
      </c>
      <c r="L4" s="22"/>
      <c r="M4" s="22"/>
      <c r="N4" s="22"/>
      <c r="O4" s="22"/>
      <c r="P4" s="22"/>
      <c r="Q4" s="22"/>
      <c r="R4" s="22"/>
      <c r="S4" s="22"/>
      <c r="T4" s="22"/>
      <c r="U4" s="22"/>
      <c r="V4" s="22"/>
      <c r="W4" s="22"/>
      <c r="X4" s="22"/>
      <c r="Y4" s="22"/>
      <c r="Z4" s="22"/>
      <c r="AA4" s="22"/>
    </row>
    <row r="5" spans="1:27" ht="39" customHeight="1" x14ac:dyDescent="0.2">
      <c r="A5" s="74"/>
      <c r="B5" s="148" t="s">
        <v>234</v>
      </c>
      <c r="C5" s="116" t="s">
        <v>65</v>
      </c>
      <c r="D5" s="110">
        <v>281921148</v>
      </c>
      <c r="E5" s="147">
        <v>1045260662</v>
      </c>
      <c r="F5" s="109">
        <v>0</v>
      </c>
      <c r="G5" s="28"/>
      <c r="K5" s="26">
        <v>10834088082</v>
      </c>
      <c r="L5" s="22"/>
      <c r="M5" s="22"/>
      <c r="N5" s="22"/>
      <c r="O5" s="22"/>
      <c r="P5" s="22"/>
      <c r="Q5" s="22"/>
      <c r="R5" s="22"/>
      <c r="S5" s="22"/>
      <c r="T5" s="22"/>
      <c r="U5" s="22"/>
      <c r="V5" s="22"/>
      <c r="W5" s="22"/>
      <c r="X5" s="22"/>
      <c r="Y5" s="22"/>
      <c r="Z5" s="22"/>
      <c r="AA5" s="22"/>
    </row>
    <row r="6" spans="1:27" ht="39" customHeight="1" x14ac:dyDescent="0.2">
      <c r="A6" s="74"/>
      <c r="B6" s="148" t="s">
        <v>235</v>
      </c>
      <c r="C6" s="116" t="s">
        <v>236</v>
      </c>
      <c r="D6" s="110">
        <v>11455762</v>
      </c>
      <c r="E6" s="147">
        <v>700000</v>
      </c>
      <c r="F6" s="109">
        <v>0</v>
      </c>
      <c r="G6" s="28"/>
      <c r="K6" s="26"/>
      <c r="L6" s="22"/>
      <c r="M6" s="22"/>
      <c r="N6" s="22"/>
      <c r="O6" s="22"/>
      <c r="P6" s="22"/>
      <c r="Q6" s="22"/>
      <c r="R6" s="22"/>
      <c r="S6" s="22"/>
      <c r="T6" s="22"/>
      <c r="U6" s="22"/>
      <c r="V6" s="22"/>
      <c r="W6" s="22"/>
      <c r="X6" s="22"/>
      <c r="Y6" s="22"/>
      <c r="Z6" s="22"/>
      <c r="AA6" s="22"/>
    </row>
    <row r="7" spans="1:27" ht="39" customHeight="1" x14ac:dyDescent="0.2">
      <c r="A7" s="74"/>
      <c r="B7" s="148" t="s">
        <v>237</v>
      </c>
      <c r="C7" s="116" t="s">
        <v>238</v>
      </c>
      <c r="D7" s="110">
        <v>0</v>
      </c>
      <c r="E7" s="147">
        <v>0</v>
      </c>
      <c r="F7" s="109">
        <v>0</v>
      </c>
      <c r="G7" s="28"/>
      <c r="K7" s="26"/>
      <c r="L7" s="22"/>
      <c r="M7" s="22"/>
      <c r="N7" s="22"/>
      <c r="O7" s="22"/>
      <c r="P7" s="22"/>
      <c r="Q7" s="22"/>
      <c r="R7" s="22"/>
      <c r="S7" s="22"/>
      <c r="T7" s="22"/>
      <c r="U7" s="22"/>
      <c r="V7" s="22"/>
      <c r="W7" s="22"/>
      <c r="X7" s="22"/>
      <c r="Y7" s="22"/>
      <c r="Z7" s="22"/>
      <c r="AA7" s="22"/>
    </row>
    <row r="8" spans="1:27" ht="39" customHeight="1" x14ac:dyDescent="0.2">
      <c r="A8" s="74"/>
      <c r="B8" s="148" t="s">
        <v>239</v>
      </c>
      <c r="C8" s="116" t="s">
        <v>240</v>
      </c>
      <c r="D8" s="110">
        <v>270465386</v>
      </c>
      <c r="E8" s="147">
        <v>1044560662</v>
      </c>
      <c r="F8" s="109">
        <v>0</v>
      </c>
      <c r="G8" s="28"/>
      <c r="K8" s="26"/>
      <c r="L8" s="22"/>
      <c r="M8" s="22"/>
      <c r="N8" s="22"/>
      <c r="O8" s="22"/>
      <c r="P8" s="22"/>
      <c r="Q8" s="22"/>
      <c r="R8" s="22"/>
      <c r="S8" s="22"/>
      <c r="T8" s="22"/>
      <c r="U8" s="22"/>
      <c r="V8" s="22"/>
      <c r="W8" s="22"/>
      <c r="X8" s="22"/>
      <c r="Y8" s="22"/>
      <c r="Z8" s="22"/>
      <c r="AA8" s="22"/>
    </row>
    <row r="9" spans="1:27" ht="39" customHeight="1" x14ac:dyDescent="0.2">
      <c r="A9" s="74"/>
      <c r="B9" s="148" t="s">
        <v>241</v>
      </c>
      <c r="C9" s="116" t="s">
        <v>242</v>
      </c>
      <c r="D9" s="110">
        <v>5300000000</v>
      </c>
      <c r="E9" s="147">
        <v>5380000000</v>
      </c>
      <c r="F9" s="109">
        <v>0</v>
      </c>
      <c r="G9" s="28"/>
      <c r="K9" s="26">
        <v>8090208216</v>
      </c>
      <c r="L9" s="22"/>
      <c r="M9" s="22"/>
      <c r="N9" s="22"/>
      <c r="O9" s="22"/>
      <c r="P9" s="22"/>
      <c r="Q9" s="22"/>
      <c r="R9" s="22"/>
      <c r="S9" s="22"/>
      <c r="T9" s="22"/>
      <c r="U9" s="22"/>
      <c r="V9" s="22"/>
      <c r="W9" s="22"/>
      <c r="X9" s="22"/>
      <c r="Y9" s="22"/>
      <c r="Z9" s="22"/>
      <c r="AA9" s="22"/>
    </row>
    <row r="10" spans="1:27" ht="39" customHeight="1" x14ac:dyDescent="0.2">
      <c r="A10" s="75" t="s">
        <v>66</v>
      </c>
      <c r="B10" s="115" t="s">
        <v>243</v>
      </c>
      <c r="C10" s="123" t="s">
        <v>68</v>
      </c>
      <c r="D10" s="110">
        <v>45808000000</v>
      </c>
      <c r="E10" s="147">
        <v>45724500000</v>
      </c>
      <c r="F10" s="109">
        <v>0</v>
      </c>
      <c r="G10" s="27"/>
      <c r="K10" s="26">
        <v>54380270000</v>
      </c>
      <c r="L10" s="22"/>
      <c r="M10" s="22"/>
      <c r="N10" s="22"/>
      <c r="O10" s="22"/>
      <c r="P10" s="22"/>
      <c r="Q10" s="22"/>
      <c r="R10" s="22"/>
      <c r="S10" s="22"/>
      <c r="T10" s="22"/>
      <c r="U10" s="22"/>
      <c r="V10" s="22"/>
      <c r="W10" s="22"/>
      <c r="X10" s="22"/>
      <c r="Y10" s="22"/>
      <c r="Z10" s="22"/>
      <c r="AA10" s="22"/>
    </row>
    <row r="11" spans="1:27" ht="39" customHeight="1" x14ac:dyDescent="0.2">
      <c r="A11" s="74"/>
      <c r="B11" s="150" t="s">
        <v>244</v>
      </c>
      <c r="C11" s="116" t="s">
        <v>456</v>
      </c>
      <c r="D11" s="109">
        <v>45808000000</v>
      </c>
      <c r="E11" s="149">
        <v>45724500000</v>
      </c>
      <c r="F11" s="109">
        <v>0</v>
      </c>
      <c r="G11" s="28"/>
      <c r="K11" s="26">
        <v>54104270000</v>
      </c>
      <c r="L11" s="22"/>
      <c r="M11" s="22"/>
      <c r="N11" s="22"/>
      <c r="O11" s="22"/>
      <c r="P11" s="22"/>
      <c r="Q11" s="22"/>
      <c r="R11" s="22"/>
      <c r="S11" s="22"/>
      <c r="T11" s="22"/>
      <c r="U11" s="22"/>
      <c r="V11" s="22"/>
      <c r="W11" s="22"/>
      <c r="X11" s="22"/>
      <c r="Y11" s="22"/>
      <c r="Z11" s="22"/>
      <c r="AA11" s="22"/>
    </row>
    <row r="12" spans="1:27" ht="39" customHeight="1" x14ac:dyDescent="0.2">
      <c r="A12" s="74"/>
      <c r="B12" s="150" t="s">
        <v>245</v>
      </c>
      <c r="C12" s="116" t="s">
        <v>457</v>
      </c>
      <c r="D12" s="109">
        <v>0</v>
      </c>
      <c r="E12" s="149">
        <v>0</v>
      </c>
      <c r="F12" s="109">
        <v>0</v>
      </c>
      <c r="G12" s="28"/>
      <c r="K12" s="26">
        <v>0</v>
      </c>
      <c r="L12" s="22"/>
      <c r="M12" s="22"/>
      <c r="N12" s="22"/>
      <c r="O12" s="22"/>
      <c r="P12" s="22"/>
      <c r="Q12" s="22"/>
      <c r="R12" s="22"/>
      <c r="S12" s="22"/>
      <c r="T12" s="22"/>
      <c r="U12" s="22"/>
      <c r="V12" s="22"/>
      <c r="W12" s="22"/>
      <c r="X12" s="22"/>
      <c r="Y12" s="22"/>
      <c r="Z12" s="22"/>
      <c r="AA12" s="22"/>
    </row>
    <row r="13" spans="1:27" ht="39" customHeight="1" x14ac:dyDescent="0.2">
      <c r="A13" s="74"/>
      <c r="B13" s="150" t="s">
        <v>246</v>
      </c>
      <c r="C13" s="116" t="s">
        <v>458</v>
      </c>
      <c r="D13" s="109">
        <v>0</v>
      </c>
      <c r="E13" s="149">
        <v>0</v>
      </c>
      <c r="F13" s="109">
        <v>0</v>
      </c>
      <c r="G13" s="28"/>
      <c r="K13" s="26">
        <v>0</v>
      </c>
      <c r="L13" s="22"/>
      <c r="M13" s="22"/>
      <c r="N13" s="22"/>
      <c r="O13" s="22"/>
      <c r="P13" s="22"/>
      <c r="Q13" s="22"/>
      <c r="R13" s="22"/>
      <c r="S13" s="22"/>
      <c r="T13" s="22"/>
      <c r="U13" s="22"/>
      <c r="V13" s="22"/>
      <c r="W13" s="22"/>
      <c r="X13" s="22"/>
      <c r="Y13" s="22"/>
      <c r="Z13" s="22"/>
      <c r="AA13" s="22"/>
    </row>
    <row r="14" spans="1:27" ht="39" customHeight="1" x14ac:dyDescent="0.2">
      <c r="A14" s="74"/>
      <c r="B14" s="150" t="s">
        <v>247</v>
      </c>
      <c r="C14" s="116" t="s">
        <v>459</v>
      </c>
      <c r="D14" s="109">
        <v>0</v>
      </c>
      <c r="E14" s="149">
        <v>0</v>
      </c>
      <c r="F14" s="109">
        <v>0</v>
      </c>
      <c r="G14" s="28"/>
      <c r="K14" s="26">
        <v>0</v>
      </c>
      <c r="L14" s="22"/>
      <c r="M14" s="22"/>
      <c r="N14" s="22"/>
      <c r="O14" s="22"/>
      <c r="P14" s="22"/>
      <c r="Q14" s="22"/>
      <c r="R14" s="22"/>
      <c r="S14" s="22"/>
      <c r="T14" s="22"/>
      <c r="U14" s="22"/>
      <c r="V14" s="22"/>
      <c r="W14" s="22"/>
      <c r="X14" s="22"/>
      <c r="Y14" s="22"/>
      <c r="Z14" s="22"/>
      <c r="AA14" s="22"/>
    </row>
    <row r="15" spans="1:27" ht="39" customHeight="1" x14ac:dyDescent="0.2">
      <c r="A15" s="74"/>
      <c r="B15" s="150" t="s">
        <v>248</v>
      </c>
      <c r="C15" s="116" t="s">
        <v>460</v>
      </c>
      <c r="D15" s="109">
        <v>0</v>
      </c>
      <c r="E15" s="149">
        <v>0</v>
      </c>
      <c r="F15" s="109">
        <v>0</v>
      </c>
      <c r="G15" s="28"/>
      <c r="K15" s="26">
        <v>0</v>
      </c>
      <c r="L15" s="22"/>
      <c r="M15" s="22"/>
      <c r="N15" s="22"/>
      <c r="O15" s="22"/>
      <c r="P15" s="22"/>
      <c r="Q15" s="22"/>
      <c r="R15" s="22"/>
      <c r="S15" s="22"/>
      <c r="T15" s="22"/>
      <c r="U15" s="22"/>
      <c r="V15" s="22"/>
      <c r="W15" s="22"/>
      <c r="X15" s="22"/>
      <c r="Y15" s="22"/>
      <c r="Z15" s="22"/>
      <c r="AA15" s="22"/>
    </row>
    <row r="16" spans="1:27" ht="39" customHeight="1" x14ac:dyDescent="0.2">
      <c r="A16" s="75"/>
      <c r="B16" s="122" t="s">
        <v>249</v>
      </c>
      <c r="C16" s="123" t="s">
        <v>461</v>
      </c>
      <c r="D16" s="109">
        <v>0</v>
      </c>
      <c r="E16" s="149">
        <v>0</v>
      </c>
      <c r="F16" s="109">
        <v>0</v>
      </c>
      <c r="G16" s="28"/>
      <c r="K16" s="26">
        <v>276000000</v>
      </c>
      <c r="L16" s="22"/>
      <c r="M16" s="22"/>
      <c r="N16" s="22"/>
      <c r="O16" s="22"/>
      <c r="P16" s="22"/>
      <c r="Q16" s="22"/>
      <c r="R16" s="22"/>
      <c r="S16" s="22"/>
      <c r="T16" s="22"/>
      <c r="U16" s="22"/>
      <c r="V16" s="22"/>
      <c r="W16" s="22"/>
      <c r="X16" s="22"/>
      <c r="Y16" s="22"/>
      <c r="Z16" s="22"/>
      <c r="AA16" s="22"/>
    </row>
    <row r="17" spans="1:28" ht="39" customHeight="1" x14ac:dyDescent="0.2">
      <c r="A17" s="75" t="s">
        <v>69</v>
      </c>
      <c r="B17" s="115" t="s">
        <v>250</v>
      </c>
      <c r="C17" s="123" t="s">
        <v>73</v>
      </c>
      <c r="D17" s="110">
        <v>85000000</v>
      </c>
      <c r="E17" s="147">
        <v>85000000</v>
      </c>
      <c r="F17" s="109">
        <v>0</v>
      </c>
      <c r="G17" s="27"/>
      <c r="K17" s="26">
        <v>182000000</v>
      </c>
      <c r="L17" s="22"/>
      <c r="M17" s="22"/>
      <c r="N17" s="22"/>
      <c r="O17" s="22"/>
      <c r="P17" s="22"/>
      <c r="Q17" s="22"/>
      <c r="R17" s="22"/>
      <c r="S17" s="22"/>
      <c r="T17" s="22"/>
      <c r="U17" s="22"/>
      <c r="V17" s="22"/>
      <c r="W17" s="22"/>
      <c r="X17" s="22"/>
      <c r="Y17" s="22"/>
      <c r="Z17" s="22"/>
      <c r="AA17" s="22"/>
    </row>
    <row r="18" spans="1:28" ht="39" customHeight="1" x14ac:dyDescent="0.2">
      <c r="A18" s="75"/>
      <c r="B18" s="115" t="s">
        <v>382</v>
      </c>
      <c r="C18" s="123" t="s">
        <v>251</v>
      </c>
      <c r="D18" s="110">
        <v>85000000</v>
      </c>
      <c r="E18" s="147">
        <v>85000000</v>
      </c>
      <c r="F18" s="109">
        <v>0</v>
      </c>
      <c r="G18" s="27"/>
      <c r="K18" s="26"/>
      <c r="L18" s="22"/>
      <c r="M18" s="22"/>
      <c r="N18" s="22"/>
      <c r="O18" s="22"/>
      <c r="P18" s="22"/>
      <c r="Q18" s="22"/>
      <c r="R18" s="22"/>
      <c r="S18" s="22"/>
      <c r="T18" s="22"/>
      <c r="U18" s="22"/>
      <c r="V18" s="22"/>
      <c r="W18" s="22"/>
      <c r="X18" s="22"/>
      <c r="Y18" s="22"/>
      <c r="Z18" s="22"/>
      <c r="AA18" s="22"/>
    </row>
    <row r="19" spans="1:28" ht="37.5" customHeight="1" x14ac:dyDescent="0.2">
      <c r="A19" s="75"/>
      <c r="B19" s="115" t="s">
        <v>439</v>
      </c>
      <c r="C19" s="123" t="s">
        <v>252</v>
      </c>
      <c r="D19" s="10">
        <v>0</v>
      </c>
      <c r="E19" s="17">
        <v>0</v>
      </c>
      <c r="F19" s="109">
        <v>0</v>
      </c>
      <c r="G19" s="27"/>
      <c r="K19" s="26"/>
      <c r="L19" s="22"/>
      <c r="M19" s="22"/>
      <c r="N19" s="22"/>
      <c r="O19" s="22"/>
      <c r="P19" s="22"/>
      <c r="Q19" s="22"/>
      <c r="R19" s="22"/>
      <c r="S19" s="22"/>
      <c r="T19" s="22"/>
      <c r="U19" s="22"/>
      <c r="V19" s="22"/>
      <c r="W19" s="22"/>
      <c r="X19" s="22"/>
      <c r="Y19" s="22"/>
      <c r="Z19" s="22"/>
      <c r="AA19" s="22"/>
    </row>
    <row r="20" spans="1:28" ht="34.5" customHeight="1" x14ac:dyDescent="0.2">
      <c r="A20" s="75" t="s">
        <v>71</v>
      </c>
      <c r="B20" s="115" t="s">
        <v>253</v>
      </c>
      <c r="C20" s="123" t="s">
        <v>76</v>
      </c>
      <c r="D20" s="110">
        <v>15246575</v>
      </c>
      <c r="E20" s="147">
        <v>16095781</v>
      </c>
      <c r="F20" s="109">
        <v>0</v>
      </c>
      <c r="G20" s="27"/>
      <c r="K20" s="26">
        <v>31954902</v>
      </c>
      <c r="L20" s="22"/>
      <c r="M20" s="22"/>
      <c r="N20" s="22"/>
      <c r="O20" s="22"/>
      <c r="P20" s="22"/>
      <c r="Q20" s="22"/>
      <c r="R20" s="22"/>
      <c r="S20" s="22"/>
      <c r="T20" s="22"/>
      <c r="U20" s="22"/>
      <c r="V20" s="22"/>
      <c r="W20" s="22"/>
      <c r="X20" s="22"/>
      <c r="Y20" s="22"/>
      <c r="Z20" s="22"/>
      <c r="AA20" s="22"/>
    </row>
    <row r="21" spans="1:28" ht="39" customHeight="1" x14ac:dyDescent="0.2">
      <c r="A21" s="75"/>
      <c r="B21" s="122" t="s">
        <v>254</v>
      </c>
      <c r="C21" s="123" t="s">
        <v>255</v>
      </c>
      <c r="D21" s="110">
        <v>15246575</v>
      </c>
      <c r="E21" s="147">
        <v>16095781</v>
      </c>
      <c r="F21" s="109">
        <v>0</v>
      </c>
      <c r="G21" s="27"/>
      <c r="K21" s="26">
        <v>31954902</v>
      </c>
      <c r="L21" s="22"/>
      <c r="M21" s="22"/>
      <c r="N21" s="22"/>
      <c r="O21" s="22"/>
      <c r="P21" s="22"/>
      <c r="Q21" s="22"/>
      <c r="R21" s="22"/>
      <c r="S21" s="22"/>
      <c r="T21" s="22"/>
      <c r="U21" s="22"/>
      <c r="V21" s="22"/>
      <c r="W21" s="22"/>
      <c r="X21" s="22"/>
      <c r="Y21" s="22"/>
      <c r="Z21" s="22"/>
      <c r="AA21" s="22"/>
    </row>
    <row r="22" spans="1:28" ht="39" customHeight="1" x14ac:dyDescent="0.2">
      <c r="A22" s="75"/>
      <c r="B22" s="122" t="s">
        <v>256</v>
      </c>
      <c r="C22" s="123" t="s">
        <v>257</v>
      </c>
      <c r="D22" s="110">
        <v>0</v>
      </c>
      <c r="E22" s="147">
        <v>0</v>
      </c>
      <c r="F22" s="109">
        <v>0</v>
      </c>
      <c r="G22" s="27"/>
      <c r="K22" s="26">
        <v>0</v>
      </c>
      <c r="L22" s="22"/>
      <c r="M22" s="22"/>
      <c r="N22" s="22"/>
      <c r="O22" s="22"/>
      <c r="P22" s="22"/>
      <c r="Q22" s="22"/>
      <c r="R22" s="22"/>
      <c r="S22" s="22"/>
      <c r="T22" s="22"/>
      <c r="U22" s="22"/>
      <c r="V22" s="22"/>
      <c r="W22" s="22"/>
      <c r="X22" s="22"/>
      <c r="Y22" s="22"/>
      <c r="Z22" s="22"/>
      <c r="AA22" s="22"/>
    </row>
    <row r="23" spans="1:28" ht="39" customHeight="1" x14ac:dyDescent="0.2">
      <c r="A23" s="75" t="s">
        <v>74</v>
      </c>
      <c r="B23" s="115" t="s">
        <v>258</v>
      </c>
      <c r="C23" s="123" t="s">
        <v>81</v>
      </c>
      <c r="D23" s="110">
        <v>0</v>
      </c>
      <c r="E23" s="147">
        <v>0</v>
      </c>
      <c r="F23" s="109">
        <v>0</v>
      </c>
      <c r="G23" s="27"/>
      <c r="K23" s="26">
        <v>838678093</v>
      </c>
      <c r="L23" s="22"/>
      <c r="M23" s="22"/>
      <c r="N23" s="22"/>
      <c r="O23" s="22"/>
      <c r="P23" s="22"/>
      <c r="Q23" s="22"/>
      <c r="R23" s="22"/>
      <c r="S23" s="22"/>
      <c r="T23" s="22"/>
      <c r="U23" s="22"/>
      <c r="V23" s="22"/>
      <c r="W23" s="22"/>
      <c r="X23" s="22"/>
      <c r="Y23" s="22"/>
      <c r="Z23" s="22"/>
      <c r="AA23" s="22"/>
    </row>
    <row r="24" spans="1:28" ht="39" customHeight="1" x14ac:dyDescent="0.2">
      <c r="A24" s="75" t="s">
        <v>77</v>
      </c>
      <c r="B24" s="115" t="s">
        <v>259</v>
      </c>
      <c r="C24" s="123" t="s">
        <v>84</v>
      </c>
      <c r="D24" s="110">
        <v>0</v>
      </c>
      <c r="E24" s="147">
        <v>0</v>
      </c>
      <c r="F24" s="109">
        <v>0</v>
      </c>
      <c r="G24" s="29"/>
      <c r="K24" s="26">
        <v>0</v>
      </c>
      <c r="L24" s="22"/>
      <c r="M24" s="22"/>
      <c r="N24" s="22"/>
      <c r="O24" s="22"/>
      <c r="P24" s="22"/>
      <c r="Q24" s="22"/>
      <c r="R24" s="22"/>
      <c r="S24" s="22"/>
      <c r="T24" s="22"/>
      <c r="U24" s="22"/>
      <c r="V24" s="22"/>
      <c r="W24" s="22"/>
      <c r="X24" s="22"/>
      <c r="Y24" s="22"/>
      <c r="Z24" s="22"/>
      <c r="AA24" s="22"/>
    </row>
    <row r="25" spans="1:28" ht="39" customHeight="1" x14ac:dyDescent="0.2">
      <c r="A25" s="75" t="s">
        <v>79</v>
      </c>
      <c r="B25" s="115" t="s">
        <v>260</v>
      </c>
      <c r="C25" s="123" t="s">
        <v>86</v>
      </c>
      <c r="D25" s="110">
        <v>0</v>
      </c>
      <c r="E25" s="147">
        <v>0</v>
      </c>
      <c r="F25" s="109">
        <v>0</v>
      </c>
      <c r="G25" s="29"/>
      <c r="H25" s="30" t="s">
        <v>424</v>
      </c>
      <c r="I25" s="31"/>
      <c r="K25" s="26">
        <v>0</v>
      </c>
      <c r="L25" s="22"/>
      <c r="M25" s="22"/>
      <c r="N25" s="22"/>
      <c r="O25" s="22"/>
      <c r="P25" s="22"/>
      <c r="Q25" s="22"/>
      <c r="R25" s="22"/>
      <c r="S25" s="22"/>
      <c r="T25" s="22"/>
      <c r="U25" s="22"/>
      <c r="V25" s="22"/>
      <c r="W25" s="22"/>
      <c r="X25" s="22"/>
      <c r="Y25" s="22"/>
      <c r="Z25" s="22"/>
      <c r="AA25" s="22"/>
    </row>
    <row r="26" spans="1:28" ht="45.75" customHeight="1" x14ac:dyDescent="0.2">
      <c r="A26" s="13" t="s">
        <v>82</v>
      </c>
      <c r="B26" s="113" t="s">
        <v>261</v>
      </c>
      <c r="C26" s="114" t="s">
        <v>88</v>
      </c>
      <c r="D26" s="117">
        <v>51490167723</v>
      </c>
      <c r="E26" s="151">
        <v>52250856443</v>
      </c>
      <c r="F26" s="157">
        <v>0</v>
      </c>
      <c r="G26" s="32"/>
      <c r="H26" s="33">
        <v>77161857907</v>
      </c>
      <c r="I26" s="34">
        <v>76787550493</v>
      </c>
      <c r="J26" s="35"/>
      <c r="K26" s="36">
        <v>74357199293</v>
      </c>
      <c r="L26" s="22"/>
      <c r="M26" s="22"/>
      <c r="N26" s="22"/>
      <c r="O26" s="22"/>
      <c r="P26" s="22"/>
      <c r="Q26" s="22"/>
      <c r="R26" s="22"/>
      <c r="S26" s="22"/>
      <c r="T26" s="22"/>
      <c r="U26" s="22"/>
      <c r="V26" s="22"/>
      <c r="W26" s="22"/>
      <c r="X26" s="22"/>
      <c r="Y26" s="22"/>
      <c r="Z26" s="22"/>
      <c r="AA26" s="22"/>
    </row>
    <row r="27" spans="1:28" ht="53.25" customHeight="1" x14ac:dyDescent="0.2">
      <c r="A27" s="13" t="s">
        <v>89</v>
      </c>
      <c r="B27" s="113" t="s">
        <v>262</v>
      </c>
      <c r="C27" s="114" t="s">
        <v>91</v>
      </c>
      <c r="D27" s="152">
        <v>0</v>
      </c>
      <c r="E27" s="153">
        <v>0</v>
      </c>
      <c r="F27" s="157">
        <v>0</v>
      </c>
      <c r="G27" s="37"/>
      <c r="H27" s="38">
        <v>0</v>
      </c>
      <c r="I27" s="34">
        <v>0</v>
      </c>
      <c r="J27" s="35"/>
      <c r="K27" s="36">
        <v>0</v>
      </c>
      <c r="L27" s="22"/>
      <c r="M27" s="22"/>
      <c r="N27" s="22"/>
      <c r="O27" s="22"/>
      <c r="P27" s="22"/>
      <c r="Q27" s="22"/>
      <c r="R27" s="22"/>
      <c r="S27" s="22"/>
      <c r="T27" s="22"/>
      <c r="U27" s="22"/>
      <c r="V27" s="22"/>
      <c r="W27" s="22"/>
      <c r="X27" s="22"/>
      <c r="Y27" s="22"/>
      <c r="Z27" s="22"/>
      <c r="AA27" s="22"/>
    </row>
    <row r="28" spans="1:28" ht="54.75" customHeight="1" x14ac:dyDescent="0.2">
      <c r="A28" s="16" t="s">
        <v>92</v>
      </c>
      <c r="B28" s="115" t="s">
        <v>263</v>
      </c>
      <c r="C28" s="123" t="s">
        <v>96</v>
      </c>
      <c r="D28" s="110">
        <v>0</v>
      </c>
      <c r="E28" s="147">
        <v>1033000000</v>
      </c>
      <c r="F28" s="109">
        <v>0</v>
      </c>
      <c r="G28" s="27"/>
      <c r="K28" s="26">
        <v>830644100</v>
      </c>
      <c r="L28" s="22"/>
      <c r="M28" s="22"/>
      <c r="N28" s="22"/>
      <c r="O28" s="22"/>
      <c r="P28" s="22"/>
      <c r="Q28" s="22"/>
      <c r="R28" s="22"/>
      <c r="S28" s="22"/>
      <c r="T28" s="22"/>
      <c r="U28" s="22"/>
      <c r="V28" s="22"/>
      <c r="W28" s="22"/>
      <c r="X28" s="22"/>
      <c r="Y28" s="22"/>
      <c r="Z28" s="22"/>
      <c r="AA28" s="22"/>
    </row>
    <row r="29" spans="1:28" ht="39" customHeight="1" x14ac:dyDescent="0.2">
      <c r="A29" s="16" t="s">
        <v>94</v>
      </c>
      <c r="B29" s="115" t="s">
        <v>264</v>
      </c>
      <c r="C29" s="123" t="s">
        <v>99</v>
      </c>
      <c r="D29" s="110">
        <v>149409958</v>
      </c>
      <c r="E29" s="147">
        <v>105362203</v>
      </c>
      <c r="F29" s="109">
        <v>0</v>
      </c>
      <c r="G29" s="27"/>
      <c r="K29" s="26">
        <v>171396702</v>
      </c>
      <c r="L29" s="22"/>
      <c r="M29" s="22"/>
      <c r="N29" s="22"/>
      <c r="O29" s="22"/>
      <c r="P29" s="22"/>
      <c r="Q29" s="22"/>
      <c r="R29" s="22"/>
      <c r="S29" s="22"/>
      <c r="T29" s="22"/>
      <c r="U29" s="22"/>
      <c r="V29" s="22"/>
      <c r="W29" s="22"/>
      <c r="X29" s="22"/>
      <c r="Y29" s="22"/>
      <c r="Z29" s="22"/>
      <c r="AA29" s="22"/>
    </row>
    <row r="30" spans="1:28" ht="39" customHeight="1" x14ac:dyDescent="0.2">
      <c r="A30" s="156"/>
      <c r="B30" s="148" t="s">
        <v>265</v>
      </c>
      <c r="C30" s="116" t="s">
        <v>462</v>
      </c>
      <c r="D30" s="109">
        <v>0</v>
      </c>
      <c r="E30" s="149">
        <v>0</v>
      </c>
      <c r="F30" s="109">
        <v>0</v>
      </c>
      <c r="G30" s="27"/>
      <c r="K30" s="26">
        <v>0</v>
      </c>
      <c r="L30" s="22"/>
      <c r="M30" s="22"/>
      <c r="N30" s="22"/>
      <c r="O30" s="22"/>
      <c r="P30" s="22"/>
      <c r="Q30" s="22"/>
      <c r="R30" s="22"/>
      <c r="S30" s="22"/>
      <c r="T30" s="22"/>
      <c r="U30" s="22"/>
      <c r="V30" s="22"/>
      <c r="W30" s="22"/>
      <c r="X30" s="22"/>
      <c r="Y30" s="22"/>
      <c r="Z30" s="22"/>
      <c r="AA30" s="22"/>
    </row>
    <row r="31" spans="1:28" ht="39" customHeight="1" x14ac:dyDescent="0.2">
      <c r="A31" s="156"/>
      <c r="B31" s="148" t="s">
        <v>266</v>
      </c>
      <c r="C31" s="116" t="s">
        <v>463</v>
      </c>
      <c r="D31" s="109">
        <v>11350000</v>
      </c>
      <c r="E31" s="149">
        <v>700000</v>
      </c>
      <c r="F31" s="109">
        <v>0</v>
      </c>
      <c r="G31" s="27"/>
      <c r="K31" s="26">
        <v>0</v>
      </c>
      <c r="L31" s="22"/>
      <c r="M31" s="22"/>
      <c r="N31" s="22"/>
      <c r="O31" s="22"/>
      <c r="P31" s="22"/>
      <c r="Q31" s="22"/>
      <c r="R31" s="22"/>
      <c r="S31" s="22"/>
      <c r="T31" s="22"/>
      <c r="U31" s="22"/>
      <c r="V31" s="22"/>
      <c r="W31" s="22"/>
      <c r="X31" s="22"/>
      <c r="Y31" s="22"/>
      <c r="Z31" s="22"/>
      <c r="AA31" s="22"/>
    </row>
    <row r="32" spans="1:28" s="39" customFormat="1" ht="39" customHeight="1" x14ac:dyDescent="0.2">
      <c r="A32" s="16"/>
      <c r="B32" s="115" t="s">
        <v>267</v>
      </c>
      <c r="C32" s="123" t="s">
        <v>464</v>
      </c>
      <c r="D32" s="109">
        <v>1962255</v>
      </c>
      <c r="E32" s="149">
        <v>1451612</v>
      </c>
      <c r="F32" s="109">
        <v>0</v>
      </c>
      <c r="G32" s="27"/>
      <c r="K32" s="26">
        <v>0</v>
      </c>
      <c r="L32" s="22"/>
      <c r="M32" s="22"/>
      <c r="N32" s="22"/>
      <c r="O32" s="22"/>
      <c r="P32" s="22"/>
      <c r="Q32" s="22"/>
      <c r="R32" s="22"/>
      <c r="S32" s="22"/>
      <c r="T32" s="22"/>
      <c r="U32" s="22"/>
      <c r="V32" s="22"/>
      <c r="W32" s="22"/>
      <c r="X32" s="22"/>
      <c r="Y32" s="22"/>
      <c r="Z32" s="22"/>
      <c r="AA32" s="22"/>
      <c r="AB32" s="22"/>
    </row>
    <row r="33" spans="1:28" ht="62.25" customHeight="1" x14ac:dyDescent="0.2">
      <c r="A33" s="156"/>
      <c r="B33" s="148" t="s">
        <v>268</v>
      </c>
      <c r="C33" s="116" t="s">
        <v>465</v>
      </c>
      <c r="D33" s="109">
        <v>53212</v>
      </c>
      <c r="E33" s="149">
        <v>0</v>
      </c>
      <c r="F33" s="109">
        <v>0</v>
      </c>
      <c r="G33" s="27"/>
      <c r="K33" s="26">
        <v>250000</v>
      </c>
      <c r="L33" s="22"/>
      <c r="M33" s="22"/>
      <c r="N33" s="22"/>
      <c r="O33" s="22"/>
      <c r="P33" s="22"/>
      <c r="Q33" s="22"/>
      <c r="R33" s="22"/>
      <c r="S33" s="22"/>
      <c r="T33" s="22"/>
      <c r="U33" s="22"/>
      <c r="V33" s="22"/>
      <c r="W33" s="22"/>
      <c r="X33" s="22"/>
      <c r="Y33" s="22"/>
      <c r="Z33" s="22"/>
      <c r="AA33" s="22"/>
    </row>
    <row r="34" spans="1:28" ht="39" customHeight="1" x14ac:dyDescent="0.2">
      <c r="A34" s="156"/>
      <c r="B34" s="148" t="s">
        <v>269</v>
      </c>
      <c r="C34" s="116" t="s">
        <v>466</v>
      </c>
      <c r="D34" s="109">
        <v>0</v>
      </c>
      <c r="E34" s="149">
        <v>0</v>
      </c>
      <c r="F34" s="109">
        <v>0</v>
      </c>
      <c r="G34" s="27"/>
      <c r="K34" s="26">
        <v>0</v>
      </c>
      <c r="L34" s="22"/>
      <c r="M34" s="22"/>
      <c r="N34" s="22"/>
      <c r="O34" s="22"/>
      <c r="P34" s="22"/>
      <c r="Q34" s="22"/>
      <c r="R34" s="22"/>
      <c r="S34" s="22"/>
      <c r="T34" s="22"/>
      <c r="U34" s="22"/>
      <c r="V34" s="22"/>
      <c r="W34" s="22"/>
      <c r="X34" s="22"/>
      <c r="Y34" s="22"/>
      <c r="Z34" s="22"/>
      <c r="AA34" s="22"/>
    </row>
    <row r="35" spans="1:28" s="39" customFormat="1" ht="39" customHeight="1" x14ac:dyDescent="0.2">
      <c r="A35" s="16"/>
      <c r="B35" s="115" t="s">
        <v>270</v>
      </c>
      <c r="C35" s="123" t="s">
        <v>467</v>
      </c>
      <c r="D35" s="110">
        <v>17564517</v>
      </c>
      <c r="E35" s="147">
        <v>13064517</v>
      </c>
      <c r="F35" s="109">
        <v>0</v>
      </c>
      <c r="G35" s="27"/>
      <c r="K35" s="26">
        <v>6000000</v>
      </c>
      <c r="L35" s="22"/>
      <c r="M35" s="22"/>
      <c r="N35" s="22"/>
      <c r="O35" s="22"/>
      <c r="P35" s="22"/>
      <c r="Q35" s="22"/>
      <c r="R35" s="22"/>
      <c r="S35" s="22"/>
      <c r="T35" s="22"/>
      <c r="U35" s="22"/>
      <c r="V35" s="22"/>
      <c r="W35" s="22"/>
      <c r="X35" s="22"/>
      <c r="Y35" s="22"/>
      <c r="Z35" s="22"/>
      <c r="AA35" s="22"/>
      <c r="AB35" s="22"/>
    </row>
    <row r="36" spans="1:28" ht="39" customHeight="1" x14ac:dyDescent="0.2">
      <c r="A36" s="156"/>
      <c r="B36" s="148" t="s">
        <v>271</v>
      </c>
      <c r="C36" s="116" t="s">
        <v>468</v>
      </c>
      <c r="D36" s="109">
        <v>42927100</v>
      </c>
      <c r="E36" s="149">
        <v>1396574</v>
      </c>
      <c r="F36" s="109">
        <v>0</v>
      </c>
      <c r="G36" s="27"/>
      <c r="K36" s="26">
        <v>56533209</v>
      </c>
      <c r="L36" s="22"/>
      <c r="M36" s="22"/>
      <c r="N36" s="22"/>
      <c r="O36" s="22"/>
      <c r="P36" s="22"/>
      <c r="Q36" s="22"/>
      <c r="R36" s="22"/>
      <c r="S36" s="22"/>
      <c r="T36" s="22"/>
      <c r="U36" s="22"/>
      <c r="V36" s="22"/>
      <c r="W36" s="22"/>
      <c r="X36" s="22"/>
      <c r="Y36" s="22"/>
      <c r="Z36" s="22"/>
      <c r="AA36" s="22"/>
    </row>
    <row r="37" spans="1:28" ht="39" customHeight="1" x14ac:dyDescent="0.2">
      <c r="A37" s="156"/>
      <c r="B37" s="148" t="s">
        <v>272</v>
      </c>
      <c r="C37" s="116" t="s">
        <v>469</v>
      </c>
      <c r="D37" s="109">
        <v>15000000</v>
      </c>
      <c r="E37" s="149">
        <v>0</v>
      </c>
      <c r="F37" s="109">
        <v>0</v>
      </c>
      <c r="G37" s="27"/>
      <c r="K37" s="26">
        <v>10750000</v>
      </c>
      <c r="L37" s="22"/>
      <c r="M37" s="22"/>
      <c r="N37" s="22"/>
      <c r="O37" s="22"/>
      <c r="P37" s="22"/>
      <c r="Q37" s="22"/>
      <c r="R37" s="22"/>
      <c r="S37" s="22"/>
      <c r="T37" s="22"/>
      <c r="U37" s="22"/>
      <c r="V37" s="22"/>
      <c r="W37" s="22"/>
      <c r="X37" s="22"/>
      <c r="Y37" s="22"/>
      <c r="Z37" s="22"/>
      <c r="AA37" s="22"/>
    </row>
    <row r="38" spans="1:28" ht="39" customHeight="1" x14ac:dyDescent="0.2">
      <c r="A38" s="156"/>
      <c r="B38" s="148" t="s">
        <v>273</v>
      </c>
      <c r="C38" s="116" t="s">
        <v>470</v>
      </c>
      <c r="D38" s="109">
        <v>16500000</v>
      </c>
      <c r="E38" s="149">
        <v>49500000</v>
      </c>
      <c r="F38" s="109">
        <v>0</v>
      </c>
      <c r="G38" s="27"/>
      <c r="K38" s="26">
        <v>11180000</v>
      </c>
      <c r="L38" s="22"/>
      <c r="M38" s="22"/>
      <c r="N38" s="22"/>
      <c r="O38" s="22"/>
      <c r="P38" s="22"/>
      <c r="Q38" s="22"/>
      <c r="R38" s="22"/>
      <c r="S38" s="22"/>
      <c r="T38" s="22"/>
      <c r="U38" s="22"/>
      <c r="V38" s="22"/>
      <c r="W38" s="22"/>
      <c r="X38" s="22"/>
      <c r="Y38" s="22"/>
      <c r="Z38" s="22"/>
      <c r="AA38" s="22"/>
    </row>
    <row r="39" spans="1:28" ht="39" customHeight="1" x14ac:dyDescent="0.2">
      <c r="A39" s="156"/>
      <c r="B39" s="148" t="s">
        <v>274</v>
      </c>
      <c r="C39" s="116" t="s">
        <v>275</v>
      </c>
      <c r="D39" s="109">
        <v>5500000</v>
      </c>
      <c r="E39" s="149">
        <v>16500000</v>
      </c>
      <c r="F39" s="109">
        <v>0</v>
      </c>
      <c r="G39" s="27"/>
      <c r="K39" s="26">
        <v>19565000</v>
      </c>
      <c r="L39" s="22"/>
      <c r="M39" s="22"/>
      <c r="N39" s="22"/>
      <c r="O39" s="22"/>
      <c r="P39" s="22"/>
      <c r="Q39" s="22"/>
      <c r="R39" s="22"/>
      <c r="S39" s="22"/>
      <c r="T39" s="22"/>
      <c r="U39" s="22"/>
      <c r="V39" s="22"/>
      <c r="W39" s="22"/>
      <c r="X39" s="22"/>
      <c r="Y39" s="22"/>
      <c r="Z39" s="22"/>
      <c r="AA39" s="22"/>
    </row>
    <row r="40" spans="1:28" ht="39" customHeight="1" x14ac:dyDescent="0.2">
      <c r="A40" s="156"/>
      <c r="B40" s="148" t="s">
        <v>276</v>
      </c>
      <c r="C40" s="116" t="s">
        <v>277</v>
      </c>
      <c r="D40" s="109">
        <v>0</v>
      </c>
      <c r="E40" s="149">
        <v>309900</v>
      </c>
      <c r="F40" s="109">
        <v>0</v>
      </c>
      <c r="G40" s="27"/>
      <c r="K40" s="26">
        <v>13050000</v>
      </c>
      <c r="L40" s="22"/>
      <c r="M40" s="22"/>
      <c r="N40" s="22"/>
      <c r="O40" s="22"/>
      <c r="P40" s="22"/>
      <c r="Q40" s="22"/>
      <c r="R40" s="22"/>
      <c r="S40" s="22"/>
      <c r="T40" s="22"/>
      <c r="U40" s="22"/>
      <c r="V40" s="22"/>
      <c r="W40" s="22"/>
      <c r="X40" s="22"/>
      <c r="Y40" s="22"/>
      <c r="Z40" s="22"/>
      <c r="AA40" s="22"/>
    </row>
    <row r="41" spans="1:28" ht="39" customHeight="1" x14ac:dyDescent="0.2">
      <c r="A41" s="156"/>
      <c r="B41" s="148" t="s">
        <v>278</v>
      </c>
      <c r="C41" s="116" t="s">
        <v>279</v>
      </c>
      <c r="D41" s="109">
        <v>11000000</v>
      </c>
      <c r="E41" s="149">
        <v>0</v>
      </c>
      <c r="F41" s="109">
        <v>0</v>
      </c>
      <c r="G41" s="27"/>
      <c r="K41" s="26">
        <v>11000000</v>
      </c>
      <c r="L41" s="22"/>
      <c r="M41" s="22"/>
      <c r="N41" s="22"/>
      <c r="O41" s="22"/>
      <c r="P41" s="22"/>
      <c r="Q41" s="22"/>
      <c r="R41" s="22"/>
      <c r="S41" s="22"/>
      <c r="T41" s="22"/>
      <c r="U41" s="22"/>
      <c r="V41" s="22"/>
      <c r="W41" s="22"/>
      <c r="X41" s="22"/>
      <c r="Y41" s="22"/>
      <c r="Z41" s="22"/>
      <c r="AA41" s="22"/>
    </row>
    <row r="42" spans="1:28" ht="39" customHeight="1" x14ac:dyDescent="0.2">
      <c r="A42" s="156"/>
      <c r="B42" s="148" t="s">
        <v>280</v>
      </c>
      <c r="C42" s="116" t="s">
        <v>281</v>
      </c>
      <c r="D42" s="109">
        <v>0</v>
      </c>
      <c r="E42" s="149">
        <v>0</v>
      </c>
      <c r="F42" s="109">
        <v>0</v>
      </c>
      <c r="G42" s="27"/>
      <c r="K42" s="26">
        <v>0</v>
      </c>
      <c r="L42" s="22"/>
      <c r="M42" s="22"/>
      <c r="N42" s="22"/>
      <c r="O42" s="22"/>
      <c r="P42" s="22"/>
      <c r="Q42" s="22"/>
      <c r="R42" s="22"/>
      <c r="S42" s="22"/>
      <c r="T42" s="22"/>
      <c r="U42" s="22"/>
      <c r="V42" s="22"/>
      <c r="W42" s="22"/>
      <c r="X42" s="22"/>
      <c r="Y42" s="22"/>
      <c r="Z42" s="22"/>
      <c r="AA42" s="22"/>
    </row>
    <row r="43" spans="1:28" ht="39" customHeight="1" x14ac:dyDescent="0.2">
      <c r="A43" s="156"/>
      <c r="B43" s="148" t="s">
        <v>282</v>
      </c>
      <c r="C43" s="116" t="s">
        <v>283</v>
      </c>
      <c r="D43" s="109">
        <v>21703559</v>
      </c>
      <c r="E43" s="149">
        <v>16200000</v>
      </c>
      <c r="F43" s="109">
        <v>0</v>
      </c>
      <c r="G43" s="27"/>
      <c r="K43" s="26">
        <v>39780822</v>
      </c>
      <c r="L43" s="22"/>
      <c r="M43" s="22"/>
      <c r="N43" s="22"/>
      <c r="O43" s="22"/>
      <c r="P43" s="22"/>
      <c r="Q43" s="22"/>
      <c r="R43" s="22"/>
      <c r="S43" s="22"/>
      <c r="T43" s="22"/>
      <c r="U43" s="22"/>
      <c r="V43" s="22"/>
      <c r="W43" s="22"/>
      <c r="X43" s="22"/>
      <c r="Y43" s="22"/>
      <c r="Z43" s="22"/>
      <c r="AA43" s="22"/>
    </row>
    <row r="44" spans="1:28" ht="39" customHeight="1" x14ac:dyDescent="0.2">
      <c r="A44" s="156"/>
      <c r="B44" s="148" t="s">
        <v>284</v>
      </c>
      <c r="C44" s="116" t="s">
        <v>285</v>
      </c>
      <c r="D44" s="109">
        <v>0</v>
      </c>
      <c r="E44" s="149">
        <v>0</v>
      </c>
      <c r="F44" s="109">
        <v>0</v>
      </c>
      <c r="G44" s="27"/>
      <c r="K44" s="26">
        <v>0</v>
      </c>
      <c r="L44" s="22"/>
      <c r="M44" s="22"/>
      <c r="N44" s="22"/>
      <c r="O44" s="22"/>
      <c r="P44" s="22"/>
      <c r="Q44" s="22"/>
      <c r="R44" s="22"/>
      <c r="S44" s="22"/>
      <c r="T44" s="22"/>
      <c r="U44" s="22"/>
      <c r="V44" s="22"/>
      <c r="W44" s="22"/>
      <c r="X44" s="22"/>
      <c r="Y44" s="22"/>
      <c r="Z44" s="22"/>
      <c r="AA44" s="22"/>
    </row>
    <row r="45" spans="1:28" ht="39" customHeight="1" x14ac:dyDescent="0.2">
      <c r="A45" s="156"/>
      <c r="B45" s="148" t="s">
        <v>286</v>
      </c>
      <c r="C45" s="116" t="s">
        <v>287</v>
      </c>
      <c r="D45" s="109">
        <v>0</v>
      </c>
      <c r="E45" s="149">
        <v>0</v>
      </c>
      <c r="F45" s="109">
        <v>0</v>
      </c>
      <c r="G45" s="27"/>
      <c r="K45" s="26">
        <v>0</v>
      </c>
      <c r="L45" s="22"/>
      <c r="M45" s="22"/>
      <c r="N45" s="22"/>
      <c r="O45" s="22"/>
      <c r="P45" s="22"/>
      <c r="Q45" s="22"/>
      <c r="R45" s="22"/>
      <c r="S45" s="22"/>
      <c r="T45" s="22"/>
      <c r="U45" s="22"/>
      <c r="V45" s="22"/>
      <c r="W45" s="22"/>
      <c r="X45" s="22"/>
      <c r="Y45" s="22"/>
      <c r="Z45" s="22"/>
      <c r="AA45" s="22"/>
    </row>
    <row r="46" spans="1:28" ht="39" customHeight="1" x14ac:dyDescent="0.2">
      <c r="A46" s="156"/>
      <c r="B46" s="148" t="s">
        <v>288</v>
      </c>
      <c r="C46" s="116" t="s">
        <v>289</v>
      </c>
      <c r="D46" s="109">
        <v>0</v>
      </c>
      <c r="E46" s="149">
        <v>1239600</v>
      </c>
      <c r="F46" s="109">
        <v>0</v>
      </c>
      <c r="G46" s="27"/>
      <c r="K46" s="26">
        <v>0</v>
      </c>
      <c r="L46" s="22"/>
      <c r="M46" s="22"/>
      <c r="N46" s="22"/>
      <c r="O46" s="22"/>
      <c r="P46" s="22"/>
      <c r="Q46" s="22"/>
      <c r="R46" s="22"/>
      <c r="S46" s="22"/>
      <c r="T46" s="22"/>
      <c r="U46" s="22"/>
      <c r="V46" s="22"/>
      <c r="W46" s="22"/>
      <c r="X46" s="22"/>
      <c r="Y46" s="22"/>
      <c r="Z46" s="22"/>
      <c r="AA46" s="22"/>
    </row>
    <row r="47" spans="1:28" ht="39" customHeight="1" x14ac:dyDescent="0.2">
      <c r="A47" s="156"/>
      <c r="B47" s="148" t="s">
        <v>290</v>
      </c>
      <c r="C47" s="116" t="s">
        <v>291</v>
      </c>
      <c r="D47" s="109">
        <v>0</v>
      </c>
      <c r="E47" s="149">
        <v>0</v>
      </c>
      <c r="F47" s="109">
        <v>0</v>
      </c>
      <c r="G47" s="27"/>
      <c r="K47" s="26">
        <v>0</v>
      </c>
      <c r="L47" s="22"/>
      <c r="M47" s="22"/>
      <c r="N47" s="22"/>
      <c r="O47" s="22"/>
      <c r="P47" s="22"/>
      <c r="Q47" s="22"/>
      <c r="R47" s="22"/>
      <c r="S47" s="22"/>
      <c r="T47" s="22"/>
      <c r="U47" s="22"/>
      <c r="V47" s="22"/>
      <c r="W47" s="22"/>
      <c r="X47" s="22"/>
      <c r="Y47" s="22"/>
      <c r="Z47" s="22"/>
      <c r="AA47" s="22"/>
    </row>
    <row r="48" spans="1:28" ht="39" customHeight="1" x14ac:dyDescent="0.2">
      <c r="A48" s="156"/>
      <c r="B48" s="148" t="s">
        <v>292</v>
      </c>
      <c r="C48" s="116" t="s">
        <v>293</v>
      </c>
      <c r="D48" s="109">
        <v>5849315</v>
      </c>
      <c r="E48" s="149">
        <v>5000000</v>
      </c>
      <c r="F48" s="109">
        <v>0</v>
      </c>
      <c r="G48" s="27"/>
      <c r="K48" s="26">
        <v>3287671</v>
      </c>
      <c r="L48" s="22"/>
      <c r="M48" s="22"/>
      <c r="N48" s="22"/>
      <c r="O48" s="22"/>
      <c r="P48" s="22"/>
      <c r="Q48" s="22"/>
      <c r="R48" s="22"/>
      <c r="S48" s="22"/>
      <c r="T48" s="22"/>
      <c r="U48" s="22"/>
      <c r="V48" s="22"/>
      <c r="W48" s="22"/>
      <c r="X48" s="22"/>
      <c r="Y48" s="22"/>
      <c r="Z48" s="22"/>
      <c r="AA48" s="22"/>
    </row>
    <row r="49" spans="1:28" ht="39" customHeight="1" x14ac:dyDescent="0.2">
      <c r="A49" s="156"/>
      <c r="B49" s="148" t="s">
        <v>294</v>
      </c>
      <c r="C49" s="116" t="s">
        <v>471</v>
      </c>
      <c r="D49" s="109">
        <v>0</v>
      </c>
      <c r="E49" s="149">
        <v>0</v>
      </c>
      <c r="F49" s="109">
        <v>0</v>
      </c>
      <c r="G49" s="27"/>
      <c r="K49" s="26"/>
      <c r="L49" s="22"/>
      <c r="M49" s="22"/>
      <c r="N49" s="22"/>
      <c r="O49" s="22"/>
      <c r="P49" s="22"/>
      <c r="Q49" s="22"/>
      <c r="R49" s="22"/>
      <c r="S49" s="22"/>
      <c r="T49" s="22"/>
      <c r="U49" s="22"/>
      <c r="V49" s="22"/>
      <c r="W49" s="22"/>
      <c r="X49" s="22"/>
      <c r="Y49" s="22"/>
      <c r="Z49" s="22"/>
      <c r="AA49" s="22"/>
    </row>
    <row r="50" spans="1:28" s="41" customFormat="1" ht="39" customHeight="1" x14ac:dyDescent="0.2">
      <c r="A50" s="13" t="s">
        <v>97</v>
      </c>
      <c r="B50" s="113" t="s">
        <v>295</v>
      </c>
      <c r="C50" s="114" t="s">
        <v>101</v>
      </c>
      <c r="D50" s="117">
        <v>149409958</v>
      </c>
      <c r="E50" s="151">
        <v>1138362203</v>
      </c>
      <c r="F50" s="157">
        <v>0</v>
      </c>
      <c r="G50" s="40"/>
      <c r="H50" s="33">
        <v>190555733</v>
      </c>
      <c r="I50" s="34">
        <v>293612600</v>
      </c>
      <c r="K50" s="42">
        <v>0</v>
      </c>
      <c r="L50" s="22"/>
      <c r="M50" s="22"/>
      <c r="N50" s="22"/>
      <c r="O50" s="22"/>
      <c r="P50" s="22"/>
      <c r="Q50" s="22"/>
      <c r="R50" s="22"/>
      <c r="S50" s="22"/>
      <c r="T50" s="22"/>
      <c r="U50" s="22"/>
      <c r="V50" s="22"/>
      <c r="W50" s="22"/>
      <c r="X50" s="22"/>
      <c r="Y50" s="22"/>
      <c r="Z50" s="22"/>
      <c r="AA50" s="22"/>
      <c r="AB50" s="22"/>
    </row>
    <row r="51" spans="1:28" ht="36.75" customHeight="1" x14ac:dyDescent="0.2">
      <c r="A51" s="74"/>
      <c r="B51" s="148" t="s">
        <v>296</v>
      </c>
      <c r="C51" s="116" t="s">
        <v>102</v>
      </c>
      <c r="D51" s="109">
        <v>51340757765</v>
      </c>
      <c r="E51" s="149">
        <v>51112494240</v>
      </c>
      <c r="F51" s="109">
        <v>0</v>
      </c>
      <c r="G51" s="32"/>
      <c r="H51" s="38">
        <v>0</v>
      </c>
      <c r="I51" s="38">
        <v>0</v>
      </c>
      <c r="K51" s="36">
        <v>1002040802</v>
      </c>
      <c r="L51" s="22"/>
      <c r="M51" s="22"/>
      <c r="N51" s="22"/>
      <c r="O51" s="22"/>
      <c r="P51" s="22"/>
      <c r="Q51" s="22"/>
      <c r="R51" s="22"/>
      <c r="S51" s="22"/>
      <c r="T51" s="22"/>
      <c r="U51" s="22"/>
      <c r="V51" s="22"/>
      <c r="W51" s="22"/>
      <c r="X51" s="22"/>
      <c r="Y51" s="22"/>
      <c r="Z51" s="22"/>
      <c r="AA51" s="22"/>
    </row>
    <row r="52" spans="1:28" ht="39" customHeight="1" x14ac:dyDescent="0.2">
      <c r="A52" s="74"/>
      <c r="B52" s="148" t="s">
        <v>297</v>
      </c>
      <c r="C52" s="116" t="s">
        <v>103</v>
      </c>
      <c r="D52" s="154">
        <v>5076327.38</v>
      </c>
      <c r="E52" s="155">
        <v>5058098.6900000004</v>
      </c>
      <c r="F52" s="109">
        <v>0</v>
      </c>
      <c r="G52" s="28"/>
      <c r="H52" s="38">
        <v>76971302174</v>
      </c>
      <c r="I52" s="38">
        <v>76493937893</v>
      </c>
      <c r="J52" s="43"/>
      <c r="K52" s="26">
        <v>73355158491</v>
      </c>
      <c r="L52" s="22"/>
      <c r="M52" s="22"/>
      <c r="N52" s="22"/>
      <c r="O52" s="22"/>
      <c r="P52" s="22"/>
      <c r="Q52" s="22"/>
      <c r="R52" s="22"/>
      <c r="S52" s="22"/>
      <c r="T52" s="22"/>
      <c r="U52" s="22"/>
      <c r="V52" s="22"/>
      <c r="W52" s="22"/>
      <c r="X52" s="22"/>
      <c r="Y52" s="22"/>
      <c r="Z52" s="22"/>
      <c r="AA52" s="22"/>
    </row>
    <row r="53" spans="1:28" ht="39" customHeight="1" x14ac:dyDescent="0.2">
      <c r="A53" s="74"/>
      <c r="B53" s="148" t="s">
        <v>298</v>
      </c>
      <c r="C53" s="116" t="s">
        <v>104</v>
      </c>
      <c r="D53" s="154">
        <v>10113.76</v>
      </c>
      <c r="E53" s="154">
        <v>10105.08</v>
      </c>
      <c r="F53" s="109">
        <v>0</v>
      </c>
      <c r="G53" s="28"/>
      <c r="H53" s="38">
        <v>0</v>
      </c>
      <c r="I53" s="38">
        <v>0</v>
      </c>
      <c r="J53" s="43"/>
      <c r="K53" s="44">
        <v>6359254.5999999996</v>
      </c>
      <c r="L53" s="22"/>
      <c r="M53" s="22"/>
      <c r="N53" s="22"/>
      <c r="O53" s="22"/>
      <c r="P53" s="22"/>
      <c r="Q53" s="22"/>
      <c r="R53" s="22"/>
      <c r="S53" s="22"/>
      <c r="T53" s="22"/>
      <c r="U53" s="22"/>
      <c r="V53" s="22"/>
      <c r="W53" s="22"/>
      <c r="X53" s="22"/>
      <c r="Y53" s="22"/>
      <c r="Z53" s="22"/>
      <c r="AA53" s="22"/>
    </row>
    <row r="54" spans="1:28" x14ac:dyDescent="0.2">
      <c r="L54" s="22"/>
      <c r="M54" s="22"/>
      <c r="N54" s="22"/>
      <c r="O54" s="22"/>
      <c r="P54" s="22"/>
      <c r="Q54" s="22"/>
      <c r="R54" s="22"/>
      <c r="S54" s="22"/>
      <c r="T54" s="22"/>
      <c r="U54" s="22"/>
      <c r="V54" s="22"/>
      <c r="W54" s="22"/>
      <c r="X54" s="22"/>
      <c r="Y54" s="22"/>
      <c r="Z54" s="22"/>
      <c r="AA54" s="22"/>
    </row>
    <row r="55" spans="1:28" x14ac:dyDescent="0.2">
      <c r="L55" s="22"/>
      <c r="M55" s="22"/>
      <c r="N55" s="22"/>
      <c r="O55" s="22"/>
      <c r="P55" s="22"/>
      <c r="Q55" s="22"/>
      <c r="R55" s="22"/>
      <c r="S55" s="22"/>
      <c r="T55" s="22"/>
      <c r="U55" s="22"/>
      <c r="V55" s="22"/>
      <c r="W55" s="22"/>
      <c r="X55" s="22"/>
      <c r="Y55" s="22"/>
      <c r="Z55" s="22"/>
      <c r="AA55" s="22"/>
    </row>
    <row r="56" spans="1:28" x14ac:dyDescent="0.2">
      <c r="L56" s="22"/>
      <c r="M56" s="22"/>
      <c r="N56" s="22"/>
      <c r="O56" s="22"/>
      <c r="P56" s="22"/>
      <c r="Q56" s="22"/>
      <c r="R56" s="22"/>
      <c r="S56" s="22"/>
      <c r="T56" s="22"/>
      <c r="U56" s="22"/>
      <c r="V56" s="22"/>
      <c r="W56" s="22"/>
      <c r="X56" s="22"/>
      <c r="Y56" s="22"/>
      <c r="Z56" s="22"/>
      <c r="AA56" s="22"/>
    </row>
    <row r="57" spans="1:28" x14ac:dyDescent="0.2">
      <c r="L57" s="22"/>
      <c r="M57" s="22"/>
      <c r="N57" s="22"/>
      <c r="O57" s="22"/>
      <c r="P57" s="22"/>
      <c r="Q57" s="22"/>
      <c r="R57" s="22"/>
      <c r="S57" s="22"/>
      <c r="T57" s="22"/>
      <c r="U57" s="22"/>
      <c r="V57" s="22"/>
      <c r="W57" s="22"/>
      <c r="X57" s="22"/>
      <c r="Y57" s="22"/>
      <c r="Z57" s="22"/>
      <c r="AA57" s="22"/>
    </row>
    <row r="58" spans="1:28" x14ac:dyDescent="0.2">
      <c r="L58" s="22"/>
      <c r="M58" s="22"/>
      <c r="N58" s="22"/>
      <c r="O58" s="22"/>
      <c r="P58" s="22"/>
      <c r="Q58" s="22"/>
      <c r="R58" s="22"/>
      <c r="S58" s="22"/>
      <c r="T58" s="22"/>
      <c r="U58" s="22"/>
      <c r="V58" s="22"/>
      <c r="W58" s="22"/>
      <c r="X58" s="22"/>
      <c r="Y58" s="22"/>
      <c r="Z58" s="22"/>
      <c r="AA58" s="22"/>
    </row>
    <row r="59" spans="1:28" x14ac:dyDescent="0.2">
      <c r="L59" s="22"/>
      <c r="M59" s="22"/>
      <c r="N59" s="22"/>
      <c r="O59" s="22"/>
      <c r="P59" s="22"/>
      <c r="Q59" s="22"/>
      <c r="R59" s="22"/>
      <c r="S59" s="22"/>
      <c r="T59" s="22"/>
      <c r="U59" s="22"/>
      <c r="V59" s="22"/>
      <c r="W59" s="22"/>
      <c r="X59" s="22"/>
      <c r="Y59" s="22"/>
      <c r="Z59" s="22"/>
      <c r="AA59" s="22"/>
    </row>
    <row r="60" spans="1:28" x14ac:dyDescent="0.2">
      <c r="L60" s="22"/>
      <c r="M60" s="22"/>
      <c r="N60" s="22"/>
      <c r="O60" s="22"/>
      <c r="P60" s="22"/>
      <c r="Q60" s="22"/>
      <c r="R60" s="22"/>
      <c r="S60" s="22"/>
      <c r="T60" s="22"/>
      <c r="U60" s="22"/>
      <c r="V60" s="22"/>
      <c r="W60" s="22"/>
      <c r="X60" s="22"/>
      <c r="Y60" s="22"/>
      <c r="Z60" s="22"/>
      <c r="AA60" s="22"/>
    </row>
    <row r="61" spans="1:28" x14ac:dyDescent="0.2">
      <c r="L61" s="22"/>
      <c r="M61" s="22"/>
      <c r="N61" s="22"/>
      <c r="O61" s="22"/>
      <c r="P61" s="22"/>
      <c r="Q61" s="22"/>
      <c r="R61" s="22"/>
      <c r="S61" s="22"/>
      <c r="T61" s="22"/>
      <c r="U61" s="22"/>
      <c r="V61" s="22"/>
      <c r="W61" s="22"/>
      <c r="X61" s="22"/>
      <c r="Y61" s="22"/>
      <c r="Z61" s="22"/>
      <c r="AA61" s="22"/>
    </row>
    <row r="62" spans="1:28" x14ac:dyDescent="0.2">
      <c r="L62" s="22"/>
      <c r="M62" s="22"/>
      <c r="N62" s="22"/>
      <c r="O62" s="22"/>
      <c r="P62" s="22"/>
      <c r="Q62" s="22"/>
      <c r="R62" s="22"/>
      <c r="S62" s="22"/>
      <c r="T62" s="22"/>
      <c r="U62" s="22"/>
      <c r="V62" s="22"/>
      <c r="W62" s="22"/>
      <c r="X62" s="22"/>
      <c r="Y62" s="22"/>
      <c r="Z62" s="22"/>
      <c r="AA62" s="22"/>
    </row>
    <row r="63" spans="1:28" x14ac:dyDescent="0.2">
      <c r="L63" s="22"/>
      <c r="M63" s="22"/>
      <c r="N63" s="22"/>
      <c r="O63" s="22"/>
      <c r="P63" s="22"/>
      <c r="Q63" s="22"/>
      <c r="R63" s="22"/>
      <c r="S63" s="22"/>
      <c r="T63" s="22"/>
      <c r="U63" s="22"/>
      <c r="V63" s="22"/>
      <c r="W63" s="22"/>
      <c r="X63" s="22"/>
      <c r="Y63" s="22"/>
      <c r="Z63" s="22"/>
      <c r="AA63" s="22"/>
    </row>
    <row r="64" spans="1:28" x14ac:dyDescent="0.2">
      <c r="L64" s="22"/>
      <c r="M64" s="22"/>
      <c r="N64" s="22"/>
      <c r="O64" s="22"/>
      <c r="P64" s="22"/>
      <c r="Q64" s="22"/>
      <c r="R64" s="22"/>
      <c r="S64" s="22"/>
      <c r="T64" s="22"/>
      <c r="U64" s="22"/>
      <c r="V64" s="22"/>
      <c r="W64" s="22"/>
      <c r="X64" s="22"/>
      <c r="Y64" s="22"/>
      <c r="Z64" s="22"/>
      <c r="AA64" s="22"/>
    </row>
    <row r="65" spans="12:27" x14ac:dyDescent="0.2">
      <c r="L65" s="22"/>
      <c r="M65" s="22"/>
      <c r="N65" s="22"/>
      <c r="O65" s="22"/>
      <c r="P65" s="22"/>
      <c r="Q65" s="22"/>
      <c r="R65" s="22"/>
      <c r="S65" s="22"/>
      <c r="T65" s="22"/>
      <c r="U65" s="22"/>
      <c r="V65" s="22"/>
      <c r="W65" s="22"/>
      <c r="X65" s="22"/>
      <c r="Y65" s="22"/>
      <c r="Z65" s="22"/>
      <c r="AA65" s="22"/>
    </row>
    <row r="66" spans="12:27" x14ac:dyDescent="0.2">
      <c r="L66" s="22"/>
      <c r="M66" s="22"/>
      <c r="N66" s="22"/>
      <c r="O66" s="22"/>
      <c r="P66" s="22"/>
      <c r="Q66" s="22"/>
      <c r="R66" s="22"/>
      <c r="S66" s="22"/>
      <c r="T66" s="22"/>
      <c r="U66" s="22"/>
      <c r="V66" s="22"/>
      <c r="W66" s="22"/>
      <c r="X66" s="22"/>
      <c r="Y66" s="22"/>
      <c r="Z66" s="22"/>
      <c r="AA66" s="22"/>
    </row>
    <row r="67" spans="12:27" x14ac:dyDescent="0.2">
      <c r="L67" s="22"/>
      <c r="M67" s="22"/>
      <c r="N67" s="22"/>
      <c r="O67" s="22"/>
      <c r="P67" s="22"/>
      <c r="Q67" s="22"/>
      <c r="R67" s="22"/>
      <c r="S67" s="22"/>
      <c r="T67" s="22"/>
      <c r="U67" s="22"/>
      <c r="V67" s="22"/>
      <c r="W67" s="22"/>
      <c r="X67" s="22"/>
      <c r="Y67" s="22"/>
      <c r="Z67" s="22"/>
      <c r="AA67" s="22"/>
    </row>
    <row r="68" spans="12:27" x14ac:dyDescent="0.2">
      <c r="L68" s="22"/>
      <c r="M68" s="22"/>
      <c r="N68" s="22"/>
      <c r="O68" s="22"/>
      <c r="P68" s="22"/>
      <c r="Q68" s="22"/>
      <c r="R68" s="22"/>
      <c r="S68" s="22"/>
      <c r="T68" s="22"/>
      <c r="U68" s="22"/>
      <c r="V68" s="22"/>
      <c r="W68" s="22"/>
      <c r="X68" s="22"/>
      <c r="Y68" s="22"/>
      <c r="Z68" s="22"/>
      <c r="AA68" s="22"/>
    </row>
    <row r="69" spans="12:27" x14ac:dyDescent="0.2">
      <c r="L69" s="22"/>
      <c r="M69" s="22"/>
      <c r="N69" s="22"/>
      <c r="O69" s="22"/>
      <c r="P69" s="22"/>
      <c r="Q69" s="22"/>
      <c r="R69" s="22"/>
      <c r="S69" s="22"/>
      <c r="T69" s="22"/>
      <c r="U69" s="22"/>
      <c r="V69" s="22"/>
      <c r="W69" s="22"/>
      <c r="X69" s="22"/>
      <c r="Y69" s="22"/>
      <c r="Z69" s="22"/>
      <c r="AA69" s="22"/>
    </row>
    <row r="70" spans="12:27" x14ac:dyDescent="0.2">
      <c r="L70" s="22"/>
      <c r="M70" s="22"/>
      <c r="N70" s="22"/>
      <c r="O70" s="22"/>
      <c r="P70" s="22"/>
      <c r="Q70" s="22"/>
      <c r="R70" s="22"/>
      <c r="S70" s="22"/>
      <c r="T70" s="22"/>
      <c r="U70" s="22"/>
      <c r="V70" s="22"/>
      <c r="W70" s="22"/>
      <c r="X70" s="22"/>
      <c r="Y70" s="22"/>
      <c r="Z70" s="22"/>
      <c r="AA70" s="22"/>
    </row>
    <row r="71" spans="12:27" x14ac:dyDescent="0.2">
      <c r="L71" s="22"/>
      <c r="M71" s="22"/>
      <c r="N71" s="22"/>
      <c r="O71" s="22"/>
      <c r="P71" s="22"/>
      <c r="Q71" s="22"/>
      <c r="R71" s="22"/>
      <c r="S71" s="22"/>
      <c r="T71" s="22"/>
      <c r="U71" s="22"/>
      <c r="V71" s="22"/>
      <c r="W71" s="22"/>
      <c r="X71" s="22"/>
      <c r="Y71" s="22"/>
      <c r="Z71" s="22"/>
      <c r="AA71" s="22"/>
    </row>
    <row r="72" spans="12:27" x14ac:dyDescent="0.2">
      <c r="L72" s="22"/>
      <c r="M72" s="22"/>
      <c r="N72" s="22"/>
      <c r="O72" s="22"/>
      <c r="P72" s="22"/>
      <c r="Q72" s="22"/>
      <c r="R72" s="22"/>
      <c r="S72" s="22"/>
      <c r="T72" s="22"/>
      <c r="U72" s="22"/>
      <c r="V72" s="22"/>
      <c r="W72" s="22"/>
      <c r="X72" s="22"/>
      <c r="Y72" s="22"/>
      <c r="Z72" s="22"/>
      <c r="AA72" s="22"/>
    </row>
    <row r="73" spans="12:27" x14ac:dyDescent="0.2">
      <c r="L73" s="22"/>
      <c r="M73" s="22"/>
      <c r="N73" s="22"/>
      <c r="O73" s="22"/>
      <c r="P73" s="22"/>
      <c r="Q73" s="22"/>
      <c r="R73" s="22"/>
      <c r="S73" s="22"/>
      <c r="T73" s="22"/>
      <c r="U73" s="22"/>
      <c r="V73" s="22"/>
      <c r="W73" s="22"/>
      <c r="X73" s="22"/>
      <c r="Y73" s="22"/>
      <c r="Z73" s="22"/>
      <c r="AA73" s="22"/>
    </row>
    <row r="74" spans="12:27" x14ac:dyDescent="0.2">
      <c r="L74" s="22"/>
      <c r="M74" s="22"/>
      <c r="N74" s="22"/>
      <c r="O74" s="22"/>
      <c r="P74" s="22"/>
      <c r="Q74" s="22"/>
      <c r="R74" s="22"/>
      <c r="S74" s="22"/>
      <c r="T74" s="22"/>
      <c r="U74" s="22"/>
      <c r="V74" s="22"/>
      <c r="W74" s="22"/>
      <c r="X74" s="22"/>
      <c r="Y74" s="22"/>
      <c r="Z74" s="22"/>
      <c r="AA74" s="22"/>
    </row>
    <row r="75" spans="12:27" x14ac:dyDescent="0.2">
      <c r="L75" s="22"/>
      <c r="M75" s="22"/>
      <c r="N75" s="22"/>
      <c r="O75" s="22"/>
      <c r="P75" s="22"/>
      <c r="Q75" s="22"/>
      <c r="R75" s="22"/>
      <c r="S75" s="22"/>
      <c r="T75" s="22"/>
      <c r="U75" s="22"/>
      <c r="V75" s="22"/>
      <c r="W75" s="22"/>
      <c r="X75" s="22"/>
      <c r="Y75" s="22"/>
      <c r="Z75" s="22"/>
      <c r="AA75" s="22"/>
    </row>
    <row r="76" spans="12:27" x14ac:dyDescent="0.2">
      <c r="L76" s="22"/>
      <c r="M76" s="22"/>
      <c r="N76" s="22"/>
      <c r="O76" s="22"/>
      <c r="P76" s="22"/>
      <c r="Q76" s="22"/>
      <c r="R76" s="22"/>
      <c r="S76" s="22"/>
      <c r="T76" s="22"/>
      <c r="U76" s="22"/>
      <c r="V76" s="22"/>
      <c r="W76" s="22"/>
      <c r="X76" s="22"/>
      <c r="Y76" s="22"/>
      <c r="Z76" s="22"/>
      <c r="AA76" s="22"/>
    </row>
    <row r="77" spans="12:27" x14ac:dyDescent="0.2">
      <c r="L77" s="22"/>
      <c r="M77" s="22"/>
      <c r="N77" s="22"/>
      <c r="O77" s="22"/>
      <c r="P77" s="22"/>
      <c r="Q77" s="22"/>
      <c r="R77" s="22"/>
      <c r="S77" s="22"/>
      <c r="T77" s="22"/>
      <c r="U77" s="22"/>
      <c r="V77" s="22"/>
      <c r="W77" s="22"/>
      <c r="X77" s="22"/>
      <c r="Y77" s="22"/>
      <c r="Z77" s="22"/>
      <c r="AA77" s="22"/>
    </row>
    <row r="78" spans="12:27" x14ac:dyDescent="0.2">
      <c r="L78" s="22"/>
      <c r="M78" s="22"/>
      <c r="N78" s="22"/>
      <c r="O78" s="22"/>
      <c r="P78" s="22"/>
      <c r="Q78" s="22"/>
      <c r="R78" s="22"/>
      <c r="S78" s="22"/>
      <c r="T78" s="22"/>
      <c r="U78" s="22"/>
      <c r="V78" s="22"/>
      <c r="W78" s="22"/>
      <c r="X78" s="22"/>
      <c r="Y78" s="22"/>
      <c r="Z78" s="22"/>
      <c r="AA78" s="22"/>
    </row>
    <row r="79" spans="12:27" x14ac:dyDescent="0.2">
      <c r="L79" s="22"/>
      <c r="M79" s="22"/>
      <c r="N79" s="22"/>
      <c r="O79" s="22"/>
      <c r="P79" s="22"/>
      <c r="Q79" s="22"/>
      <c r="R79" s="22"/>
      <c r="S79" s="22"/>
      <c r="T79" s="22"/>
      <c r="U79" s="22"/>
      <c r="V79" s="22"/>
      <c r="W79" s="22"/>
      <c r="X79" s="22"/>
      <c r="Y79" s="22"/>
      <c r="Z79" s="22"/>
      <c r="AA79" s="22"/>
    </row>
    <row r="80" spans="12:27" x14ac:dyDescent="0.2">
      <c r="L80" s="22"/>
      <c r="M80" s="22"/>
      <c r="N80" s="22"/>
      <c r="O80" s="22"/>
      <c r="P80" s="22"/>
      <c r="Q80" s="22"/>
      <c r="R80" s="22"/>
      <c r="S80" s="22"/>
      <c r="T80" s="22"/>
      <c r="U80" s="22"/>
      <c r="V80" s="22"/>
      <c r="W80" s="22"/>
      <c r="X80" s="22"/>
      <c r="Y80" s="22"/>
      <c r="Z80" s="22"/>
      <c r="AA80" s="22"/>
    </row>
    <row r="81" spans="12:27" x14ac:dyDescent="0.2">
      <c r="L81" s="22"/>
      <c r="M81" s="22"/>
      <c r="N81" s="22"/>
      <c r="O81" s="22"/>
      <c r="P81" s="22"/>
      <c r="Q81" s="22"/>
      <c r="R81" s="22"/>
      <c r="S81" s="22"/>
      <c r="T81" s="22"/>
      <c r="U81" s="22"/>
      <c r="V81" s="22"/>
      <c r="W81" s="22"/>
      <c r="X81" s="22"/>
      <c r="Y81" s="22"/>
      <c r="Z81" s="22"/>
      <c r="AA81" s="22"/>
    </row>
    <row r="82" spans="12:27" x14ac:dyDescent="0.2">
      <c r="L82" s="22"/>
      <c r="M82" s="22"/>
      <c r="N82" s="22"/>
      <c r="O82" s="22"/>
      <c r="P82" s="22"/>
      <c r="Q82" s="22"/>
      <c r="R82" s="22"/>
      <c r="S82" s="22"/>
      <c r="T82" s="22"/>
      <c r="U82" s="22"/>
      <c r="V82" s="22"/>
      <c r="W82" s="22"/>
      <c r="X82" s="22"/>
      <c r="Y82" s="22"/>
      <c r="Z82" s="22"/>
      <c r="AA82" s="22"/>
    </row>
    <row r="83" spans="12:27" x14ac:dyDescent="0.2">
      <c r="L83" s="22"/>
      <c r="M83" s="22"/>
      <c r="N83" s="22"/>
      <c r="O83" s="22"/>
      <c r="P83" s="22"/>
      <c r="Q83" s="22"/>
      <c r="R83" s="22"/>
      <c r="S83" s="22"/>
      <c r="T83" s="22"/>
      <c r="U83" s="22"/>
      <c r="V83" s="22"/>
      <c r="W83" s="22"/>
      <c r="X83" s="22"/>
      <c r="Y83" s="22"/>
      <c r="Z83" s="22"/>
      <c r="AA83" s="22"/>
    </row>
    <row r="84" spans="12:27" x14ac:dyDescent="0.2">
      <c r="L84" s="22"/>
      <c r="M84" s="22"/>
      <c r="N84" s="22"/>
      <c r="O84" s="22"/>
      <c r="P84" s="22"/>
      <c r="Q84" s="22"/>
      <c r="R84" s="22"/>
      <c r="S84" s="22"/>
      <c r="T84" s="22"/>
      <c r="U84" s="22"/>
      <c r="V84" s="22"/>
      <c r="W84" s="22"/>
      <c r="X84" s="22"/>
      <c r="Y84" s="22"/>
      <c r="Z84" s="22"/>
      <c r="AA84" s="22"/>
    </row>
    <row r="85" spans="12:27" x14ac:dyDescent="0.2">
      <c r="L85" s="22"/>
      <c r="M85" s="22"/>
      <c r="N85" s="22"/>
      <c r="O85" s="22"/>
      <c r="P85" s="22"/>
      <c r="Q85" s="22"/>
      <c r="R85" s="22"/>
      <c r="S85" s="22"/>
      <c r="T85" s="22"/>
      <c r="U85" s="22"/>
      <c r="V85" s="22"/>
      <c r="W85" s="22"/>
      <c r="X85" s="22"/>
      <c r="Y85" s="22"/>
      <c r="Z85" s="22"/>
      <c r="AA85" s="22"/>
    </row>
    <row r="86" spans="12:27" x14ac:dyDescent="0.2">
      <c r="L86" s="22"/>
      <c r="M86" s="22"/>
      <c r="N86" s="22"/>
      <c r="O86" s="22"/>
      <c r="P86" s="22"/>
      <c r="Q86" s="22"/>
      <c r="R86" s="22"/>
      <c r="S86" s="22"/>
      <c r="T86" s="22"/>
      <c r="U86" s="22"/>
      <c r="V86" s="22"/>
      <c r="W86" s="22"/>
      <c r="X86" s="22"/>
      <c r="Y86" s="22"/>
      <c r="Z86" s="22"/>
      <c r="AA86" s="22"/>
    </row>
    <row r="87" spans="12:27" x14ac:dyDescent="0.2">
      <c r="L87" s="22"/>
      <c r="M87" s="22"/>
      <c r="N87" s="22"/>
      <c r="O87" s="22"/>
      <c r="P87" s="22"/>
      <c r="Q87" s="22"/>
      <c r="R87" s="22"/>
      <c r="S87" s="22"/>
      <c r="T87" s="22"/>
      <c r="U87" s="22"/>
      <c r="V87" s="22"/>
      <c r="W87" s="22"/>
      <c r="X87" s="22"/>
      <c r="Y87" s="22"/>
      <c r="Z87" s="22"/>
      <c r="AA87" s="22"/>
    </row>
    <row r="88" spans="12:27" x14ac:dyDescent="0.2">
      <c r="L88" s="22"/>
      <c r="M88" s="22"/>
      <c r="N88" s="22"/>
      <c r="O88" s="22"/>
      <c r="P88" s="22"/>
      <c r="Q88" s="22"/>
      <c r="R88" s="22"/>
      <c r="S88" s="22"/>
      <c r="T88" s="22"/>
      <c r="U88" s="22"/>
      <c r="V88" s="22"/>
      <c r="W88" s="22"/>
      <c r="X88" s="22"/>
      <c r="Y88" s="22"/>
      <c r="Z88" s="22"/>
      <c r="AA88" s="22"/>
    </row>
    <row r="89" spans="12:27" x14ac:dyDescent="0.2">
      <c r="L89" s="22"/>
      <c r="M89" s="22"/>
      <c r="N89" s="22"/>
      <c r="O89" s="22"/>
      <c r="P89" s="22"/>
      <c r="Q89" s="22"/>
      <c r="R89" s="22"/>
      <c r="S89" s="22"/>
      <c r="T89" s="22"/>
      <c r="U89" s="22"/>
      <c r="V89" s="22"/>
      <c r="W89" s="22"/>
      <c r="X89" s="22"/>
      <c r="Y89" s="22"/>
      <c r="Z89" s="22"/>
      <c r="AA89" s="22"/>
    </row>
    <row r="90" spans="12:27" x14ac:dyDescent="0.2">
      <c r="L90" s="22"/>
      <c r="M90" s="22"/>
      <c r="N90" s="22"/>
      <c r="O90" s="22"/>
      <c r="P90" s="22"/>
      <c r="Q90" s="22"/>
      <c r="R90" s="22"/>
      <c r="S90" s="22"/>
      <c r="T90" s="22"/>
      <c r="U90" s="22"/>
      <c r="V90" s="22"/>
      <c r="W90" s="22"/>
      <c r="X90" s="22"/>
      <c r="Y90" s="22"/>
      <c r="Z90" s="22"/>
      <c r="AA90" s="22"/>
    </row>
    <row r="91" spans="12:27" x14ac:dyDescent="0.2">
      <c r="L91" s="22"/>
      <c r="M91" s="22"/>
      <c r="N91" s="22"/>
      <c r="O91" s="22"/>
      <c r="P91" s="22"/>
      <c r="Q91" s="22"/>
      <c r="R91" s="22"/>
      <c r="S91" s="22"/>
      <c r="T91" s="22"/>
      <c r="U91" s="22"/>
      <c r="V91" s="22"/>
      <c r="W91" s="22"/>
      <c r="X91" s="22"/>
      <c r="Y91" s="22"/>
      <c r="Z91" s="22"/>
      <c r="AA91" s="22"/>
    </row>
    <row r="92" spans="12:27" x14ac:dyDescent="0.2">
      <c r="L92" s="22"/>
      <c r="M92" s="22"/>
      <c r="N92" s="22"/>
      <c r="O92" s="22"/>
      <c r="P92" s="22"/>
      <c r="Q92" s="22"/>
      <c r="R92" s="22"/>
      <c r="S92" s="22"/>
      <c r="T92" s="22"/>
      <c r="U92" s="22"/>
      <c r="V92" s="22"/>
      <c r="W92" s="22"/>
      <c r="X92" s="22"/>
      <c r="Y92" s="22"/>
      <c r="Z92" s="22"/>
      <c r="AA92" s="22"/>
    </row>
    <row r="93" spans="12:27" x14ac:dyDescent="0.2">
      <c r="L93" s="22"/>
      <c r="M93" s="22"/>
      <c r="N93" s="22"/>
      <c r="O93" s="22"/>
      <c r="P93" s="22"/>
      <c r="Q93" s="22"/>
      <c r="R93" s="22"/>
      <c r="S93" s="22"/>
      <c r="T93" s="22"/>
      <c r="U93" s="22"/>
      <c r="V93" s="22"/>
      <c r="W93" s="22"/>
      <c r="X93" s="22"/>
      <c r="Y93" s="22"/>
      <c r="Z93" s="22"/>
      <c r="AA93" s="22"/>
    </row>
    <row r="94" spans="12:27" x14ac:dyDescent="0.2">
      <c r="L94" s="22"/>
      <c r="M94" s="22"/>
      <c r="N94" s="22"/>
      <c r="O94" s="22"/>
      <c r="P94" s="22"/>
      <c r="Q94" s="22"/>
      <c r="R94" s="22"/>
      <c r="S94" s="22"/>
      <c r="T94" s="22"/>
      <c r="U94" s="22"/>
      <c r="V94" s="22"/>
      <c r="W94" s="22"/>
      <c r="X94" s="22"/>
      <c r="Y94" s="22"/>
      <c r="Z94" s="22"/>
      <c r="AA94" s="22"/>
    </row>
    <row r="95" spans="12:27" x14ac:dyDescent="0.2">
      <c r="L95" s="22"/>
      <c r="M95" s="22"/>
      <c r="N95" s="22"/>
      <c r="O95" s="22"/>
      <c r="P95" s="22"/>
      <c r="Q95" s="22"/>
      <c r="R95" s="22"/>
      <c r="S95" s="22"/>
      <c r="T95" s="22"/>
      <c r="U95" s="22"/>
      <c r="V95" s="22"/>
      <c r="W95" s="22"/>
      <c r="X95" s="22"/>
      <c r="Y95" s="22"/>
      <c r="Z95" s="22"/>
      <c r="AA95" s="22"/>
    </row>
    <row r="96" spans="12:27" x14ac:dyDescent="0.2">
      <c r="L96" s="22"/>
      <c r="M96" s="22"/>
      <c r="N96" s="22"/>
      <c r="O96" s="22"/>
      <c r="P96" s="22"/>
      <c r="Q96" s="22"/>
      <c r="R96" s="22"/>
      <c r="S96" s="22"/>
      <c r="T96" s="22"/>
      <c r="U96" s="22"/>
      <c r="V96" s="22"/>
      <c r="W96" s="22"/>
      <c r="X96" s="22"/>
      <c r="Y96" s="22"/>
      <c r="Z96" s="22"/>
      <c r="AA96" s="22"/>
    </row>
    <row r="97" spans="12:27" x14ac:dyDescent="0.2">
      <c r="L97" s="22"/>
      <c r="M97" s="22"/>
      <c r="N97" s="22"/>
      <c r="O97" s="22"/>
      <c r="P97" s="22"/>
      <c r="Q97" s="22"/>
      <c r="R97" s="22"/>
      <c r="S97" s="22"/>
      <c r="T97" s="22"/>
      <c r="U97" s="22"/>
      <c r="V97" s="22"/>
      <c r="W97" s="22"/>
      <c r="X97" s="22"/>
      <c r="Y97" s="22"/>
      <c r="Z97" s="22"/>
      <c r="AA97" s="22"/>
    </row>
    <row r="98" spans="12:27" x14ac:dyDescent="0.2">
      <c r="L98" s="22"/>
      <c r="M98" s="22"/>
      <c r="N98" s="22"/>
      <c r="O98" s="22"/>
      <c r="P98" s="22"/>
      <c r="Q98" s="22"/>
      <c r="R98" s="22"/>
      <c r="S98" s="22"/>
      <c r="T98" s="22"/>
      <c r="U98" s="22"/>
      <c r="V98" s="22"/>
      <c r="W98" s="22"/>
      <c r="X98" s="22"/>
      <c r="Y98" s="22"/>
      <c r="Z98" s="22"/>
      <c r="AA98" s="22"/>
    </row>
    <row r="99" spans="12:27" x14ac:dyDescent="0.2">
      <c r="L99" s="22"/>
      <c r="M99" s="22"/>
      <c r="N99" s="22"/>
      <c r="O99" s="22"/>
      <c r="P99" s="22"/>
      <c r="Q99" s="22"/>
      <c r="R99" s="22"/>
      <c r="S99" s="22"/>
      <c r="T99" s="22"/>
      <c r="U99" s="22"/>
      <c r="V99" s="22"/>
      <c r="W99" s="22"/>
      <c r="X99" s="22"/>
      <c r="Y99" s="22"/>
      <c r="Z99" s="22"/>
      <c r="AA99" s="22"/>
    </row>
    <row r="100" spans="12:27" x14ac:dyDescent="0.2">
      <c r="L100" s="22"/>
      <c r="M100" s="22"/>
      <c r="N100" s="22"/>
      <c r="O100" s="22"/>
      <c r="P100" s="22"/>
      <c r="Q100" s="22"/>
      <c r="R100" s="22"/>
      <c r="S100" s="22"/>
      <c r="T100" s="22"/>
      <c r="U100" s="22"/>
      <c r="V100" s="22"/>
      <c r="W100" s="22"/>
      <c r="X100" s="22"/>
      <c r="Y100" s="22"/>
      <c r="Z100" s="22"/>
      <c r="AA100" s="22"/>
    </row>
    <row r="101" spans="12:27" x14ac:dyDescent="0.2">
      <c r="L101" s="22"/>
      <c r="M101" s="22"/>
      <c r="N101" s="22"/>
      <c r="O101" s="22"/>
      <c r="P101" s="22"/>
      <c r="Q101" s="22"/>
      <c r="R101" s="22"/>
      <c r="S101" s="22"/>
      <c r="T101" s="22"/>
      <c r="U101" s="22"/>
      <c r="V101" s="22"/>
      <c r="W101" s="22"/>
      <c r="X101" s="22"/>
      <c r="Y101" s="22"/>
      <c r="Z101" s="22"/>
      <c r="AA101" s="22"/>
    </row>
    <row r="102" spans="12:27" x14ac:dyDescent="0.2">
      <c r="L102" s="22"/>
      <c r="M102" s="22"/>
      <c r="N102" s="22"/>
      <c r="O102" s="22"/>
      <c r="P102" s="22"/>
      <c r="Q102" s="22"/>
      <c r="R102" s="22"/>
      <c r="S102" s="22"/>
      <c r="T102" s="22"/>
      <c r="U102" s="22"/>
      <c r="V102" s="22"/>
      <c r="W102" s="22"/>
      <c r="X102" s="22"/>
      <c r="Y102" s="22"/>
      <c r="Z102" s="22"/>
      <c r="AA102" s="22"/>
    </row>
    <row r="103" spans="12:27" x14ac:dyDescent="0.2">
      <c r="L103" s="22"/>
      <c r="M103" s="22"/>
      <c r="N103" s="22"/>
      <c r="O103" s="22"/>
      <c r="P103" s="22"/>
      <c r="Q103" s="22"/>
      <c r="R103" s="22"/>
      <c r="S103" s="22"/>
      <c r="T103" s="22"/>
      <c r="U103" s="22"/>
      <c r="V103" s="22"/>
      <c r="W103" s="22"/>
      <c r="X103" s="22"/>
      <c r="Y103" s="22"/>
      <c r="Z103" s="22"/>
      <c r="AA103" s="22"/>
    </row>
    <row r="104" spans="12:27" x14ac:dyDescent="0.2">
      <c r="L104" s="22"/>
      <c r="M104" s="22"/>
      <c r="N104" s="22"/>
      <c r="O104" s="22"/>
      <c r="P104" s="22"/>
      <c r="Q104" s="22"/>
      <c r="R104" s="22"/>
      <c r="S104" s="22"/>
      <c r="T104" s="22"/>
      <c r="U104" s="22"/>
      <c r="V104" s="22"/>
      <c r="W104" s="22"/>
      <c r="X104" s="22"/>
      <c r="Y104" s="22"/>
      <c r="Z104" s="22"/>
      <c r="AA104" s="22"/>
    </row>
    <row r="105" spans="12:27" x14ac:dyDescent="0.2">
      <c r="L105" s="22"/>
      <c r="M105" s="22"/>
      <c r="N105" s="22"/>
      <c r="O105" s="22"/>
      <c r="P105" s="22"/>
      <c r="Q105" s="22"/>
      <c r="R105" s="22"/>
      <c r="S105" s="22"/>
      <c r="T105" s="22"/>
      <c r="U105" s="22"/>
      <c r="V105" s="22"/>
      <c r="W105" s="22"/>
      <c r="X105" s="22"/>
      <c r="Y105" s="22"/>
      <c r="Z105" s="22"/>
      <c r="AA105" s="22"/>
    </row>
    <row r="106" spans="12:27" x14ac:dyDescent="0.2">
      <c r="L106" s="22"/>
      <c r="M106" s="22"/>
      <c r="N106" s="22"/>
      <c r="O106" s="22"/>
      <c r="P106" s="22"/>
      <c r="Q106" s="22"/>
      <c r="R106" s="22"/>
      <c r="S106" s="22"/>
      <c r="T106" s="22"/>
      <c r="U106" s="22"/>
      <c r="V106" s="22"/>
      <c r="W106" s="22"/>
      <c r="X106" s="22"/>
      <c r="Y106" s="22"/>
      <c r="Z106" s="22"/>
      <c r="AA106" s="22"/>
    </row>
    <row r="107" spans="12:27" x14ac:dyDescent="0.2">
      <c r="L107" s="22"/>
      <c r="M107" s="22"/>
      <c r="N107" s="22"/>
      <c r="O107" s="22"/>
      <c r="P107" s="22"/>
      <c r="Q107" s="22"/>
      <c r="R107" s="22"/>
      <c r="S107" s="22"/>
      <c r="T107" s="22"/>
      <c r="U107" s="22"/>
      <c r="V107" s="22"/>
      <c r="W107" s="22"/>
      <c r="X107" s="22"/>
      <c r="Y107" s="22"/>
      <c r="Z107" s="22"/>
      <c r="AA107" s="22"/>
    </row>
    <row r="108" spans="12:27" x14ac:dyDescent="0.2">
      <c r="L108" s="22"/>
      <c r="M108" s="22"/>
      <c r="N108" s="22"/>
      <c r="O108" s="22"/>
      <c r="P108" s="22"/>
      <c r="Q108" s="22"/>
      <c r="R108" s="22"/>
      <c r="S108" s="22"/>
      <c r="T108" s="22"/>
      <c r="U108" s="22"/>
      <c r="V108" s="22"/>
      <c r="W108" s="22"/>
      <c r="X108" s="22"/>
      <c r="Y108" s="22"/>
      <c r="Z108" s="22"/>
      <c r="AA108" s="22"/>
    </row>
    <row r="109" spans="12:27" x14ac:dyDescent="0.2">
      <c r="L109" s="22"/>
      <c r="M109" s="22"/>
      <c r="N109" s="22"/>
      <c r="O109" s="22"/>
      <c r="P109" s="22"/>
      <c r="Q109" s="22"/>
      <c r="R109" s="22"/>
      <c r="S109" s="22"/>
      <c r="T109" s="22"/>
      <c r="U109" s="22"/>
      <c r="V109" s="22"/>
      <c r="W109" s="22"/>
      <c r="X109" s="22"/>
      <c r="Y109" s="22"/>
      <c r="Z109" s="22"/>
      <c r="AA109" s="22"/>
    </row>
    <row r="110" spans="12:27" x14ac:dyDescent="0.2">
      <c r="L110" s="22"/>
      <c r="M110" s="22"/>
      <c r="N110" s="22"/>
      <c r="O110" s="22"/>
      <c r="P110" s="22"/>
      <c r="Q110" s="22"/>
      <c r="R110" s="22"/>
      <c r="S110" s="22"/>
      <c r="T110" s="22"/>
      <c r="U110" s="22"/>
      <c r="V110" s="22"/>
      <c r="W110" s="22"/>
      <c r="X110" s="22"/>
      <c r="Y110" s="22"/>
      <c r="Z110" s="22"/>
      <c r="AA110" s="22"/>
    </row>
    <row r="111" spans="12:27" x14ac:dyDescent="0.2">
      <c r="L111" s="22"/>
      <c r="M111" s="22"/>
      <c r="N111" s="22"/>
      <c r="O111" s="22"/>
      <c r="P111" s="22"/>
      <c r="Q111" s="22"/>
      <c r="R111" s="22"/>
      <c r="S111" s="22"/>
      <c r="T111" s="22"/>
      <c r="U111" s="22"/>
      <c r="V111" s="22"/>
      <c r="W111" s="22"/>
      <c r="X111" s="22"/>
      <c r="Y111" s="22"/>
      <c r="Z111" s="22"/>
      <c r="AA111" s="22"/>
    </row>
    <row r="112" spans="12:27" x14ac:dyDescent="0.2">
      <c r="L112" s="22"/>
      <c r="M112" s="22"/>
      <c r="N112" s="22"/>
      <c r="O112" s="22"/>
      <c r="P112" s="22"/>
      <c r="Q112" s="22"/>
      <c r="R112" s="22"/>
      <c r="S112" s="22"/>
      <c r="T112" s="22"/>
      <c r="U112" s="22"/>
      <c r="V112" s="22"/>
      <c r="W112" s="22"/>
      <c r="X112" s="22"/>
      <c r="Y112" s="22"/>
      <c r="Z112" s="22"/>
      <c r="AA112" s="22"/>
    </row>
    <row r="113" spans="12:27" x14ac:dyDescent="0.2">
      <c r="L113" s="22"/>
      <c r="M113" s="22"/>
      <c r="N113" s="22"/>
      <c r="O113" s="22"/>
      <c r="P113" s="22"/>
      <c r="Q113" s="22"/>
      <c r="R113" s="22"/>
      <c r="S113" s="22"/>
      <c r="T113" s="22"/>
      <c r="U113" s="22"/>
      <c r="V113" s="22"/>
      <c r="W113" s="22"/>
      <c r="X113" s="22"/>
      <c r="Y113" s="22"/>
      <c r="Z113" s="22"/>
      <c r="AA113" s="22"/>
    </row>
    <row r="114" spans="12:27" x14ac:dyDescent="0.2">
      <c r="L114" s="22"/>
      <c r="M114" s="22"/>
      <c r="N114" s="22"/>
      <c r="O114" s="22"/>
      <c r="P114" s="22"/>
      <c r="Q114" s="22"/>
      <c r="R114" s="22"/>
      <c r="S114" s="22"/>
      <c r="T114" s="22"/>
      <c r="U114" s="22"/>
      <c r="V114" s="22"/>
      <c r="W114" s="22"/>
      <c r="X114" s="22"/>
      <c r="Y114" s="22"/>
      <c r="Z114" s="22"/>
      <c r="AA114" s="22"/>
    </row>
    <row r="115" spans="12:27" x14ac:dyDescent="0.2">
      <c r="L115" s="22"/>
      <c r="M115" s="22"/>
      <c r="N115" s="22"/>
      <c r="O115" s="22"/>
      <c r="P115" s="22"/>
      <c r="Q115" s="22"/>
      <c r="R115" s="22"/>
      <c r="S115" s="22"/>
      <c r="T115" s="22"/>
      <c r="U115" s="22"/>
      <c r="V115" s="22"/>
      <c r="W115" s="22"/>
      <c r="X115" s="22"/>
      <c r="Y115" s="22"/>
      <c r="Z115" s="22"/>
      <c r="AA115" s="22"/>
    </row>
    <row r="116" spans="12:27" x14ac:dyDescent="0.2">
      <c r="L116" s="22"/>
      <c r="M116" s="22"/>
      <c r="N116" s="22"/>
      <c r="O116" s="22"/>
      <c r="P116" s="22"/>
      <c r="Q116" s="22"/>
      <c r="R116" s="22"/>
      <c r="S116" s="22"/>
      <c r="T116" s="22"/>
      <c r="U116" s="22"/>
      <c r="V116" s="22"/>
      <c r="W116" s="22"/>
      <c r="X116" s="22"/>
      <c r="Y116" s="22"/>
      <c r="Z116" s="22"/>
      <c r="AA116" s="22"/>
    </row>
    <row r="117" spans="12:27" x14ac:dyDescent="0.2">
      <c r="L117" s="22"/>
      <c r="M117" s="22"/>
      <c r="N117" s="22"/>
      <c r="O117" s="22"/>
      <c r="P117" s="22"/>
      <c r="Q117" s="22"/>
      <c r="R117" s="22"/>
      <c r="S117" s="22"/>
      <c r="T117" s="22"/>
      <c r="U117" s="22"/>
      <c r="V117" s="22"/>
      <c r="W117" s="22"/>
      <c r="X117" s="22"/>
      <c r="Y117" s="22"/>
      <c r="Z117" s="22"/>
      <c r="AA117" s="22"/>
    </row>
    <row r="118" spans="12:27" x14ac:dyDescent="0.2">
      <c r="L118" s="22"/>
      <c r="M118" s="22"/>
      <c r="N118" s="22"/>
      <c r="O118" s="22"/>
      <c r="P118" s="22"/>
      <c r="Q118" s="22"/>
      <c r="R118" s="22"/>
      <c r="S118" s="22"/>
      <c r="T118" s="22"/>
      <c r="U118" s="22"/>
      <c r="V118" s="22"/>
      <c r="W118" s="22"/>
      <c r="X118" s="22"/>
      <c r="Y118" s="22"/>
      <c r="Z118" s="22"/>
      <c r="AA118" s="22"/>
    </row>
    <row r="119" spans="12:27" x14ac:dyDescent="0.2">
      <c r="L119" s="22"/>
      <c r="M119" s="22"/>
      <c r="N119" s="22"/>
      <c r="O119" s="22"/>
      <c r="P119" s="22"/>
      <c r="Q119" s="22"/>
      <c r="R119" s="22"/>
      <c r="S119" s="22"/>
      <c r="T119" s="22"/>
      <c r="U119" s="22"/>
      <c r="V119" s="22"/>
      <c r="W119" s="22"/>
      <c r="X119" s="22"/>
      <c r="Y119" s="22"/>
      <c r="Z119" s="22"/>
      <c r="AA119" s="22"/>
    </row>
    <row r="120" spans="12:27" x14ac:dyDescent="0.2">
      <c r="L120" s="22"/>
      <c r="M120" s="22"/>
      <c r="N120" s="22"/>
      <c r="O120" s="22"/>
      <c r="P120" s="22"/>
      <c r="Q120" s="22"/>
      <c r="R120" s="22"/>
      <c r="S120" s="22"/>
      <c r="T120" s="22"/>
      <c r="U120" s="22"/>
      <c r="V120" s="22"/>
      <c r="W120" s="22"/>
      <c r="X120" s="22"/>
      <c r="Y120" s="22"/>
      <c r="Z120" s="22"/>
      <c r="AA120" s="22"/>
    </row>
    <row r="121" spans="12:27" x14ac:dyDescent="0.2">
      <c r="L121" s="22"/>
      <c r="M121" s="22"/>
      <c r="N121" s="22"/>
      <c r="O121" s="22"/>
      <c r="P121" s="22"/>
      <c r="Q121" s="22"/>
      <c r="R121" s="22"/>
      <c r="S121" s="22"/>
      <c r="T121" s="22"/>
      <c r="U121" s="22"/>
      <c r="V121" s="22"/>
      <c r="W121" s="22"/>
      <c r="X121" s="22"/>
      <c r="Y121" s="22"/>
      <c r="Z121" s="22"/>
      <c r="AA121" s="22"/>
    </row>
    <row r="122" spans="12:27" x14ac:dyDescent="0.2">
      <c r="L122" s="22"/>
      <c r="M122" s="22"/>
      <c r="N122" s="22"/>
      <c r="O122" s="22"/>
      <c r="P122" s="22"/>
      <c r="Q122" s="22"/>
      <c r="R122" s="22"/>
      <c r="S122" s="22"/>
      <c r="T122" s="22"/>
      <c r="U122" s="22"/>
      <c r="V122" s="22"/>
      <c r="W122" s="22"/>
      <c r="X122" s="22"/>
      <c r="Y122" s="22"/>
      <c r="Z122" s="22"/>
      <c r="AA122" s="22"/>
    </row>
    <row r="123" spans="12:27" x14ac:dyDescent="0.2">
      <c r="L123" s="22"/>
      <c r="M123" s="22"/>
      <c r="N123" s="22"/>
      <c r="O123" s="22"/>
      <c r="P123" s="22"/>
      <c r="Q123" s="22"/>
      <c r="R123" s="22"/>
      <c r="S123" s="22"/>
      <c r="T123" s="22"/>
      <c r="U123" s="22"/>
      <c r="V123" s="22"/>
      <c r="W123" s="22"/>
      <c r="X123" s="22"/>
      <c r="Y123" s="22"/>
      <c r="Z123" s="22"/>
      <c r="AA123" s="22"/>
    </row>
    <row r="124" spans="12:27" x14ac:dyDescent="0.2">
      <c r="L124" s="22"/>
      <c r="M124" s="22"/>
      <c r="N124" s="22"/>
      <c r="O124" s="22"/>
      <c r="P124" s="22"/>
      <c r="Q124" s="22"/>
      <c r="R124" s="22"/>
      <c r="S124" s="22"/>
      <c r="T124" s="22"/>
      <c r="U124" s="22"/>
      <c r="V124" s="22"/>
      <c r="W124" s="22"/>
      <c r="X124" s="22"/>
      <c r="Y124" s="22"/>
      <c r="Z124" s="22"/>
      <c r="AA124" s="22"/>
    </row>
    <row r="125" spans="12:27" x14ac:dyDescent="0.2">
      <c r="L125" s="22"/>
      <c r="M125" s="22"/>
      <c r="N125" s="22"/>
      <c r="O125" s="22"/>
      <c r="P125" s="22"/>
      <c r="Q125" s="22"/>
      <c r="R125" s="22"/>
      <c r="S125" s="22"/>
      <c r="T125" s="22"/>
      <c r="U125" s="22"/>
      <c r="V125" s="22"/>
      <c r="W125" s="22"/>
      <c r="X125" s="22"/>
      <c r="Y125" s="22"/>
      <c r="Z125" s="22"/>
      <c r="AA125" s="22"/>
    </row>
    <row r="126" spans="12:27" x14ac:dyDescent="0.2">
      <c r="L126" s="22"/>
      <c r="M126" s="22"/>
      <c r="N126" s="22"/>
      <c r="O126" s="22"/>
      <c r="P126" s="22"/>
      <c r="Q126" s="22"/>
      <c r="R126" s="22"/>
      <c r="S126" s="22"/>
      <c r="T126" s="22"/>
      <c r="U126" s="22"/>
      <c r="V126" s="22"/>
      <c r="W126" s="22"/>
      <c r="X126" s="22"/>
      <c r="Y126" s="22"/>
      <c r="Z126" s="22"/>
      <c r="AA126" s="22"/>
    </row>
    <row r="127" spans="12:27" x14ac:dyDescent="0.2">
      <c r="L127" s="22"/>
      <c r="M127" s="22"/>
      <c r="N127" s="22"/>
      <c r="O127" s="22"/>
      <c r="P127" s="22"/>
      <c r="Q127" s="22"/>
      <c r="R127" s="22"/>
      <c r="S127" s="22"/>
      <c r="T127" s="22"/>
      <c r="U127" s="22"/>
      <c r="V127" s="22"/>
      <c r="W127" s="22"/>
      <c r="X127" s="22"/>
      <c r="Y127" s="22"/>
      <c r="Z127" s="22"/>
      <c r="AA127" s="22"/>
    </row>
    <row r="128" spans="12:27" x14ac:dyDescent="0.2">
      <c r="L128" s="22"/>
      <c r="M128" s="22"/>
      <c r="N128" s="22"/>
      <c r="O128" s="22"/>
      <c r="P128" s="22"/>
      <c r="Q128" s="22"/>
      <c r="R128" s="22"/>
      <c r="S128" s="22"/>
      <c r="T128" s="22"/>
      <c r="U128" s="22"/>
      <c r="V128" s="22"/>
      <c r="W128" s="22"/>
      <c r="X128" s="22"/>
      <c r="Y128" s="22"/>
      <c r="Z128" s="22"/>
      <c r="AA128" s="22"/>
    </row>
    <row r="129" spans="12:27" x14ac:dyDescent="0.2">
      <c r="L129" s="22"/>
      <c r="M129" s="22"/>
      <c r="N129" s="22"/>
      <c r="O129" s="22"/>
      <c r="P129" s="22"/>
      <c r="Q129" s="22"/>
      <c r="R129" s="22"/>
      <c r="S129" s="22"/>
      <c r="T129" s="22"/>
      <c r="U129" s="22"/>
      <c r="V129" s="22"/>
      <c r="W129" s="22"/>
      <c r="X129" s="22"/>
      <c r="Y129" s="22"/>
      <c r="Z129" s="22"/>
      <c r="AA129" s="22"/>
    </row>
    <row r="130" spans="12:27" x14ac:dyDescent="0.2">
      <c r="L130" s="22"/>
      <c r="M130" s="22"/>
      <c r="N130" s="22"/>
      <c r="O130" s="22"/>
      <c r="P130" s="22"/>
      <c r="Q130" s="22"/>
      <c r="R130" s="22"/>
      <c r="S130" s="22"/>
      <c r="T130" s="22"/>
      <c r="U130" s="22"/>
      <c r="V130" s="22"/>
      <c r="W130" s="22"/>
      <c r="X130" s="22"/>
      <c r="Y130" s="22"/>
      <c r="Z130" s="22"/>
      <c r="AA130" s="22"/>
    </row>
    <row r="131" spans="12:27" x14ac:dyDescent="0.2">
      <c r="L131" s="22"/>
      <c r="M131" s="22"/>
      <c r="N131" s="22"/>
      <c r="O131" s="22"/>
      <c r="P131" s="22"/>
      <c r="Q131" s="22"/>
      <c r="R131" s="22"/>
      <c r="S131" s="22"/>
      <c r="T131" s="22"/>
      <c r="U131" s="22"/>
      <c r="V131" s="22"/>
      <c r="W131" s="22"/>
      <c r="X131" s="22"/>
      <c r="Y131" s="22"/>
      <c r="Z131" s="22"/>
      <c r="AA131" s="22"/>
    </row>
    <row r="132" spans="12:27" x14ac:dyDescent="0.2">
      <c r="L132" s="22"/>
      <c r="M132" s="22"/>
      <c r="N132" s="22"/>
      <c r="O132" s="22"/>
      <c r="P132" s="22"/>
      <c r="Q132" s="22"/>
      <c r="R132" s="22"/>
      <c r="S132" s="22"/>
      <c r="T132" s="22"/>
      <c r="U132" s="22"/>
      <c r="V132" s="22"/>
      <c r="W132" s="22"/>
      <c r="X132" s="22"/>
      <c r="Y132" s="22"/>
      <c r="Z132" s="22"/>
      <c r="AA132" s="22"/>
    </row>
    <row r="133" spans="12:27" x14ac:dyDescent="0.2">
      <c r="L133" s="22"/>
      <c r="M133" s="22"/>
      <c r="N133" s="22"/>
      <c r="O133" s="22"/>
      <c r="P133" s="22"/>
      <c r="Q133" s="22"/>
      <c r="R133" s="22"/>
      <c r="S133" s="22"/>
      <c r="T133" s="22"/>
      <c r="U133" s="22"/>
      <c r="V133" s="22"/>
      <c r="W133" s="22"/>
      <c r="X133" s="22"/>
      <c r="Y133" s="22"/>
      <c r="Z133" s="22"/>
      <c r="AA133" s="22"/>
    </row>
    <row r="134" spans="12:27" x14ac:dyDescent="0.2">
      <c r="L134" s="22"/>
      <c r="M134" s="22"/>
      <c r="N134" s="22"/>
      <c r="O134" s="22"/>
      <c r="P134" s="22"/>
      <c r="Q134" s="22"/>
      <c r="R134" s="22"/>
      <c r="S134" s="22"/>
      <c r="T134" s="22"/>
      <c r="U134" s="22"/>
      <c r="V134" s="22"/>
      <c r="W134" s="22"/>
      <c r="X134" s="22"/>
      <c r="Y134" s="22"/>
      <c r="Z134" s="22"/>
      <c r="AA134" s="22"/>
    </row>
    <row r="135" spans="12:27" x14ac:dyDescent="0.2">
      <c r="L135" s="22"/>
      <c r="M135" s="22"/>
      <c r="N135" s="22"/>
      <c r="O135" s="22"/>
      <c r="P135" s="22"/>
      <c r="Q135" s="22"/>
      <c r="R135" s="22"/>
      <c r="S135" s="22"/>
      <c r="T135" s="22"/>
      <c r="U135" s="22"/>
      <c r="V135" s="22"/>
      <c r="W135" s="22"/>
      <c r="X135" s="22"/>
      <c r="Y135" s="22"/>
      <c r="Z135" s="22"/>
      <c r="AA135" s="22"/>
    </row>
    <row r="136" spans="12:27" x14ac:dyDescent="0.2">
      <c r="L136" s="22"/>
      <c r="M136" s="22"/>
      <c r="N136" s="22"/>
      <c r="O136" s="22"/>
      <c r="P136" s="22"/>
      <c r="Q136" s="22"/>
      <c r="R136" s="22"/>
      <c r="S136" s="22"/>
      <c r="T136" s="22"/>
      <c r="U136" s="22"/>
      <c r="V136" s="22"/>
      <c r="W136" s="22"/>
      <c r="X136" s="22"/>
      <c r="Y136" s="22"/>
      <c r="Z136" s="22"/>
      <c r="AA136" s="22"/>
    </row>
    <row r="137" spans="12:27" x14ac:dyDescent="0.2">
      <c r="L137" s="22"/>
      <c r="M137" s="22"/>
      <c r="N137" s="22"/>
      <c r="O137" s="22"/>
      <c r="P137" s="22"/>
      <c r="Q137" s="22"/>
      <c r="R137" s="22"/>
      <c r="S137" s="22"/>
      <c r="T137" s="22"/>
      <c r="U137" s="22"/>
      <c r="V137" s="22"/>
      <c r="W137" s="22"/>
      <c r="X137" s="22"/>
      <c r="Y137" s="22"/>
      <c r="Z137" s="22"/>
      <c r="AA137" s="22"/>
    </row>
    <row r="138" spans="12:27" x14ac:dyDescent="0.2">
      <c r="L138" s="22"/>
      <c r="M138" s="22"/>
      <c r="N138" s="22"/>
      <c r="O138" s="22"/>
      <c r="P138" s="22"/>
      <c r="Q138" s="22"/>
      <c r="R138" s="22"/>
      <c r="S138" s="22"/>
      <c r="T138" s="22"/>
      <c r="U138" s="22"/>
      <c r="V138" s="22"/>
      <c r="W138" s="22"/>
      <c r="X138" s="22"/>
      <c r="Y138" s="22"/>
      <c r="Z138" s="22"/>
      <c r="AA138" s="22"/>
    </row>
    <row r="139" spans="12:27" x14ac:dyDescent="0.2">
      <c r="L139" s="22"/>
      <c r="M139" s="22"/>
      <c r="N139" s="22"/>
      <c r="O139" s="22"/>
      <c r="P139" s="22"/>
      <c r="Q139" s="22"/>
      <c r="R139" s="22"/>
      <c r="S139" s="22"/>
      <c r="T139" s="22"/>
      <c r="U139" s="22"/>
      <c r="V139" s="22"/>
      <c r="W139" s="22"/>
      <c r="X139" s="22"/>
      <c r="Y139" s="22"/>
      <c r="Z139" s="22"/>
      <c r="AA139" s="22"/>
    </row>
    <row r="140" spans="12:27" x14ac:dyDescent="0.2">
      <c r="L140" s="22"/>
      <c r="M140" s="22"/>
      <c r="N140" s="22"/>
      <c r="O140" s="22"/>
      <c r="P140" s="22"/>
      <c r="Q140" s="22"/>
      <c r="R140" s="22"/>
      <c r="S140" s="22"/>
      <c r="T140" s="22"/>
      <c r="U140" s="22"/>
      <c r="V140" s="22"/>
      <c r="W140" s="22"/>
      <c r="X140" s="22"/>
      <c r="Y140" s="22"/>
      <c r="Z140" s="22"/>
      <c r="AA140" s="22"/>
    </row>
    <row r="141" spans="12:27" x14ac:dyDescent="0.2">
      <c r="L141" s="22"/>
      <c r="M141" s="22"/>
      <c r="N141" s="22"/>
      <c r="O141" s="22"/>
      <c r="P141" s="22"/>
      <c r="Q141" s="22"/>
      <c r="R141" s="22"/>
      <c r="S141" s="22"/>
      <c r="T141" s="22"/>
      <c r="U141" s="22"/>
      <c r="V141" s="22"/>
      <c r="W141" s="22"/>
      <c r="X141" s="22"/>
      <c r="Y141" s="22"/>
      <c r="Z141" s="22"/>
      <c r="AA141" s="22"/>
    </row>
    <row r="142" spans="12:27" x14ac:dyDescent="0.2">
      <c r="L142" s="22"/>
      <c r="M142" s="22"/>
      <c r="N142" s="22"/>
      <c r="O142" s="22"/>
      <c r="P142" s="22"/>
      <c r="Q142" s="22"/>
      <c r="R142" s="22"/>
      <c r="S142" s="22"/>
      <c r="T142" s="22"/>
      <c r="U142" s="22"/>
      <c r="V142" s="22"/>
      <c r="W142" s="22"/>
      <c r="X142" s="22"/>
      <c r="Y142" s="22"/>
      <c r="Z142" s="22"/>
      <c r="AA142" s="22"/>
    </row>
    <row r="143" spans="12:27" x14ac:dyDescent="0.2">
      <c r="L143" s="22"/>
      <c r="M143" s="22"/>
      <c r="N143" s="22"/>
      <c r="O143" s="22"/>
      <c r="P143" s="22"/>
      <c r="Q143" s="22"/>
      <c r="R143" s="22"/>
      <c r="S143" s="22"/>
      <c r="T143" s="22"/>
      <c r="U143" s="22"/>
      <c r="V143" s="22"/>
      <c r="W143" s="22"/>
      <c r="X143" s="22"/>
      <c r="Y143" s="22"/>
      <c r="Z143" s="22"/>
      <c r="AA143" s="22"/>
    </row>
    <row r="144" spans="12:27" x14ac:dyDescent="0.2">
      <c r="L144" s="22"/>
      <c r="M144" s="22"/>
      <c r="N144" s="22"/>
      <c r="O144" s="22"/>
      <c r="P144" s="22"/>
      <c r="Q144" s="22"/>
      <c r="R144" s="22"/>
      <c r="S144" s="22"/>
      <c r="T144" s="22"/>
      <c r="U144" s="22"/>
      <c r="V144" s="22"/>
      <c r="W144" s="22"/>
      <c r="X144" s="22"/>
      <c r="Y144" s="22"/>
      <c r="Z144" s="22"/>
      <c r="AA144" s="22"/>
    </row>
    <row r="145" spans="12:27" x14ac:dyDescent="0.2">
      <c r="L145" s="22"/>
      <c r="M145" s="22"/>
      <c r="N145" s="22"/>
      <c r="O145" s="22"/>
      <c r="P145" s="22"/>
      <c r="Q145" s="22"/>
      <c r="R145" s="22"/>
      <c r="S145" s="22"/>
      <c r="T145" s="22"/>
      <c r="U145" s="22"/>
      <c r="V145" s="22"/>
      <c r="W145" s="22"/>
      <c r="X145" s="22"/>
      <c r="Y145" s="22"/>
      <c r="Z145" s="22"/>
      <c r="AA145" s="22"/>
    </row>
    <row r="146" spans="12:27" x14ac:dyDescent="0.2">
      <c r="L146" s="22"/>
      <c r="M146" s="22"/>
      <c r="N146" s="22"/>
      <c r="O146" s="22"/>
      <c r="P146" s="22"/>
      <c r="Q146" s="22"/>
      <c r="R146" s="22"/>
      <c r="S146" s="22"/>
      <c r="T146" s="22"/>
      <c r="U146" s="22"/>
      <c r="V146" s="22"/>
      <c r="W146" s="22"/>
      <c r="X146" s="22"/>
      <c r="Y146" s="22"/>
      <c r="Z146" s="22"/>
      <c r="AA146" s="22"/>
    </row>
    <row r="147" spans="12:27" x14ac:dyDescent="0.2">
      <c r="L147" s="22"/>
      <c r="M147" s="22"/>
      <c r="N147" s="22"/>
      <c r="O147" s="22"/>
      <c r="P147" s="22"/>
      <c r="Q147" s="22"/>
      <c r="R147" s="22"/>
      <c r="S147" s="22"/>
      <c r="T147" s="22"/>
      <c r="U147" s="22"/>
      <c r="V147" s="22"/>
      <c r="W147" s="22"/>
      <c r="X147" s="22"/>
      <c r="Y147" s="22"/>
      <c r="Z147" s="22"/>
      <c r="AA147" s="22"/>
    </row>
    <row r="148" spans="12:27" x14ac:dyDescent="0.2">
      <c r="L148" s="22"/>
      <c r="M148" s="22"/>
      <c r="N148" s="22"/>
      <c r="O148" s="22"/>
      <c r="P148" s="22"/>
      <c r="Q148" s="22"/>
      <c r="R148" s="22"/>
      <c r="S148" s="22"/>
      <c r="T148" s="22"/>
      <c r="U148" s="22"/>
      <c r="V148" s="22"/>
      <c r="W148" s="22"/>
      <c r="X148" s="22"/>
      <c r="Y148" s="22"/>
      <c r="Z148" s="22"/>
      <c r="AA148" s="22"/>
    </row>
    <row r="149" spans="12:27" x14ac:dyDescent="0.2">
      <c r="L149" s="22"/>
      <c r="M149" s="22"/>
      <c r="N149" s="22"/>
      <c r="O149" s="22"/>
      <c r="P149" s="22"/>
      <c r="Q149" s="22"/>
      <c r="R149" s="22"/>
      <c r="S149" s="22"/>
      <c r="T149" s="22"/>
      <c r="U149" s="22"/>
      <c r="V149" s="22"/>
      <c r="W149" s="22"/>
      <c r="X149" s="22"/>
      <c r="Y149" s="22"/>
      <c r="Z149" s="22"/>
      <c r="AA149" s="22"/>
    </row>
    <row r="150" spans="12:27" x14ac:dyDescent="0.2">
      <c r="L150" s="22"/>
      <c r="M150" s="22"/>
      <c r="N150" s="22"/>
      <c r="O150" s="22"/>
      <c r="P150" s="22"/>
      <c r="Q150" s="22"/>
      <c r="R150" s="22"/>
      <c r="S150" s="22"/>
      <c r="T150" s="22"/>
      <c r="U150" s="22"/>
      <c r="V150" s="22"/>
      <c r="W150" s="22"/>
      <c r="X150" s="22"/>
      <c r="Y150" s="22"/>
      <c r="Z150" s="22"/>
      <c r="AA150" s="22"/>
    </row>
    <row r="151" spans="12:27" x14ac:dyDescent="0.2">
      <c r="L151" s="22"/>
      <c r="M151" s="22"/>
      <c r="N151" s="22"/>
      <c r="O151" s="22"/>
      <c r="P151" s="22"/>
      <c r="Q151" s="22"/>
      <c r="R151" s="22"/>
      <c r="S151" s="22"/>
      <c r="T151" s="22"/>
      <c r="U151" s="22"/>
      <c r="V151" s="22"/>
      <c r="W151" s="22"/>
      <c r="X151" s="22"/>
      <c r="Y151" s="22"/>
      <c r="Z151" s="22"/>
      <c r="AA151" s="22"/>
    </row>
    <row r="152" spans="12:27" x14ac:dyDescent="0.2">
      <c r="L152" s="22"/>
      <c r="M152" s="22"/>
      <c r="N152" s="22"/>
      <c r="O152" s="22"/>
      <c r="P152" s="22"/>
      <c r="Q152" s="22"/>
      <c r="R152" s="22"/>
      <c r="S152" s="22"/>
      <c r="T152" s="22"/>
      <c r="U152" s="22"/>
      <c r="V152" s="22"/>
      <c r="W152" s="22"/>
      <c r="X152" s="22"/>
      <c r="Y152" s="22"/>
      <c r="Z152" s="22"/>
      <c r="AA152" s="22"/>
    </row>
    <row r="153" spans="12:27" x14ac:dyDescent="0.2">
      <c r="L153" s="22"/>
      <c r="M153" s="22"/>
      <c r="N153" s="22"/>
      <c r="O153" s="22"/>
      <c r="P153" s="22"/>
      <c r="Q153" s="22"/>
      <c r="R153" s="22"/>
      <c r="S153" s="22"/>
      <c r="T153" s="22"/>
      <c r="U153" s="22"/>
      <c r="V153" s="22"/>
      <c r="W153" s="22"/>
      <c r="X153" s="22"/>
      <c r="Y153" s="22"/>
      <c r="Z153" s="22"/>
      <c r="AA153" s="22"/>
    </row>
    <row r="154" spans="12:27" x14ac:dyDescent="0.2">
      <c r="L154" s="22"/>
      <c r="M154" s="22"/>
      <c r="N154" s="22"/>
      <c r="O154" s="22"/>
      <c r="P154" s="22"/>
      <c r="Q154" s="22"/>
      <c r="R154" s="22"/>
      <c r="S154" s="22"/>
      <c r="T154" s="22"/>
      <c r="U154" s="22"/>
      <c r="V154" s="22"/>
      <c r="W154" s="22"/>
      <c r="X154" s="22"/>
      <c r="Y154" s="22"/>
      <c r="Z154" s="22"/>
      <c r="AA154" s="22"/>
    </row>
    <row r="155" spans="12:27" x14ac:dyDescent="0.2">
      <c r="L155" s="22"/>
      <c r="M155" s="22"/>
      <c r="N155" s="22"/>
      <c r="O155" s="22"/>
      <c r="P155" s="22"/>
      <c r="Q155" s="22"/>
      <c r="R155" s="22"/>
      <c r="S155" s="22"/>
      <c r="T155" s="22"/>
      <c r="U155" s="22"/>
      <c r="V155" s="22"/>
      <c r="W155" s="22"/>
      <c r="X155" s="22"/>
      <c r="Y155" s="22"/>
      <c r="Z155" s="22"/>
      <c r="AA155" s="22"/>
    </row>
    <row r="156" spans="12:27" x14ac:dyDescent="0.2">
      <c r="L156" s="22"/>
      <c r="M156" s="22"/>
      <c r="N156" s="22"/>
      <c r="O156" s="22"/>
      <c r="P156" s="22"/>
      <c r="Q156" s="22"/>
      <c r="R156" s="22"/>
      <c r="S156" s="22"/>
      <c r="T156" s="22"/>
      <c r="U156" s="22"/>
      <c r="V156" s="22"/>
      <c r="W156" s="22"/>
      <c r="X156" s="22"/>
      <c r="Y156" s="22"/>
      <c r="Z156" s="22"/>
      <c r="AA156" s="22"/>
    </row>
    <row r="157" spans="12:27" x14ac:dyDescent="0.2">
      <c r="L157" s="22"/>
      <c r="M157" s="22"/>
      <c r="N157" s="22"/>
      <c r="O157" s="22"/>
      <c r="P157" s="22"/>
      <c r="Q157" s="22"/>
      <c r="R157" s="22"/>
      <c r="S157" s="22"/>
      <c r="T157" s="22"/>
      <c r="U157" s="22"/>
      <c r="V157" s="22"/>
      <c r="W157" s="22"/>
      <c r="X157" s="22"/>
      <c r="Y157" s="22"/>
      <c r="Z157" s="22"/>
      <c r="AA157" s="22"/>
    </row>
    <row r="158" spans="12:27" x14ac:dyDescent="0.2">
      <c r="L158" s="22"/>
      <c r="M158" s="22"/>
      <c r="N158" s="22"/>
      <c r="O158" s="22"/>
      <c r="P158" s="22"/>
      <c r="Q158" s="22"/>
      <c r="R158" s="22"/>
      <c r="S158" s="22"/>
      <c r="T158" s="22"/>
      <c r="U158" s="22"/>
      <c r="V158" s="22"/>
      <c r="W158" s="22"/>
      <c r="X158" s="22"/>
      <c r="Y158" s="22"/>
      <c r="Z158" s="22"/>
      <c r="AA158" s="22"/>
    </row>
    <row r="159" spans="12:27" x14ac:dyDescent="0.2">
      <c r="L159" s="22"/>
      <c r="M159" s="22"/>
      <c r="N159" s="22"/>
      <c r="O159" s="22"/>
      <c r="P159" s="22"/>
      <c r="Q159" s="22"/>
      <c r="R159" s="22"/>
      <c r="S159" s="22"/>
      <c r="T159" s="22"/>
      <c r="U159" s="22"/>
      <c r="V159" s="22"/>
      <c r="W159" s="22"/>
      <c r="X159" s="22"/>
      <c r="Y159" s="22"/>
      <c r="Z159" s="22"/>
      <c r="AA159" s="22"/>
    </row>
    <row r="160" spans="12:27" x14ac:dyDescent="0.2">
      <c r="L160" s="22"/>
      <c r="M160" s="22"/>
      <c r="N160" s="22"/>
      <c r="O160" s="22"/>
      <c r="P160" s="22"/>
      <c r="Q160" s="22"/>
      <c r="R160" s="22"/>
      <c r="S160" s="22"/>
      <c r="T160" s="22"/>
      <c r="U160" s="22"/>
      <c r="V160" s="22"/>
      <c r="W160" s="22"/>
      <c r="X160" s="22"/>
      <c r="Y160" s="22"/>
      <c r="Z160" s="22"/>
      <c r="AA160" s="22"/>
    </row>
    <row r="161" spans="12:27" x14ac:dyDescent="0.2">
      <c r="L161" s="22"/>
      <c r="M161" s="22"/>
      <c r="N161" s="22"/>
      <c r="O161" s="22"/>
      <c r="P161" s="22"/>
      <c r="Q161" s="22"/>
      <c r="R161" s="22"/>
      <c r="S161" s="22"/>
      <c r="T161" s="22"/>
      <c r="U161" s="22"/>
      <c r="V161" s="22"/>
      <c r="W161" s="22"/>
      <c r="X161" s="22"/>
      <c r="Y161" s="22"/>
      <c r="Z161" s="22"/>
      <c r="AA161" s="22"/>
    </row>
    <row r="162" spans="12:27" x14ac:dyDescent="0.2">
      <c r="L162" s="22"/>
      <c r="M162" s="22"/>
      <c r="N162" s="22"/>
      <c r="O162" s="22"/>
      <c r="P162" s="22"/>
      <c r="Q162" s="22"/>
      <c r="R162" s="22"/>
      <c r="S162" s="22"/>
      <c r="T162" s="22"/>
      <c r="U162" s="22"/>
      <c r="V162" s="22"/>
      <c r="W162" s="22"/>
      <c r="X162" s="22"/>
      <c r="Y162" s="22"/>
      <c r="Z162" s="22"/>
      <c r="AA162" s="22"/>
    </row>
    <row r="163" spans="12:27" x14ac:dyDescent="0.2">
      <c r="L163" s="22"/>
      <c r="M163" s="22"/>
      <c r="N163" s="22"/>
      <c r="O163" s="22"/>
      <c r="P163" s="22"/>
      <c r="Q163" s="22"/>
      <c r="R163" s="22"/>
      <c r="S163" s="22"/>
      <c r="T163" s="22"/>
      <c r="U163" s="22"/>
      <c r="V163" s="22"/>
      <c r="W163" s="22"/>
      <c r="X163" s="22"/>
      <c r="Y163" s="22"/>
      <c r="Z163" s="22"/>
      <c r="AA163" s="22"/>
    </row>
    <row r="164" spans="12:27" x14ac:dyDescent="0.2">
      <c r="L164" s="22"/>
      <c r="M164" s="22"/>
      <c r="N164" s="22"/>
      <c r="O164" s="22"/>
      <c r="P164" s="22"/>
      <c r="Q164" s="22"/>
      <c r="R164" s="22"/>
      <c r="S164" s="22"/>
      <c r="T164" s="22"/>
      <c r="U164" s="22"/>
      <c r="V164" s="22"/>
      <c r="W164" s="22"/>
      <c r="X164" s="22"/>
      <c r="Y164" s="22"/>
      <c r="Z164" s="22"/>
      <c r="AA164" s="22"/>
    </row>
    <row r="165" spans="12:27" x14ac:dyDescent="0.2">
      <c r="L165" s="22"/>
      <c r="M165" s="22"/>
      <c r="N165" s="22"/>
      <c r="O165" s="22"/>
      <c r="P165" s="22"/>
      <c r="Q165" s="22"/>
      <c r="R165" s="22"/>
      <c r="S165" s="22"/>
      <c r="T165" s="22"/>
      <c r="U165" s="22"/>
      <c r="V165" s="22"/>
      <c r="W165" s="22"/>
      <c r="X165" s="22"/>
      <c r="Y165" s="22"/>
      <c r="Z165" s="22"/>
      <c r="AA165" s="22"/>
    </row>
    <row r="166" spans="12:27" x14ac:dyDescent="0.2">
      <c r="L166" s="22"/>
      <c r="M166" s="22"/>
      <c r="N166" s="22"/>
      <c r="O166" s="22"/>
      <c r="P166" s="22"/>
      <c r="Q166" s="22"/>
      <c r="R166" s="22"/>
      <c r="S166" s="22"/>
      <c r="T166" s="22"/>
      <c r="U166" s="22"/>
      <c r="V166" s="22"/>
      <c r="W166" s="22"/>
      <c r="X166" s="22"/>
      <c r="Y166" s="22"/>
      <c r="Z166" s="22"/>
      <c r="AA166" s="22"/>
    </row>
    <row r="167" spans="12:27" x14ac:dyDescent="0.2">
      <c r="L167" s="22"/>
      <c r="M167" s="22"/>
      <c r="N167" s="22"/>
      <c r="O167" s="22"/>
      <c r="P167" s="22"/>
      <c r="Q167" s="22"/>
      <c r="R167" s="22"/>
      <c r="S167" s="22"/>
      <c r="T167" s="22"/>
      <c r="U167" s="22"/>
      <c r="V167" s="22"/>
      <c r="W167" s="22"/>
      <c r="X167" s="22"/>
      <c r="Y167" s="22"/>
      <c r="Z167" s="22"/>
      <c r="AA167" s="22"/>
    </row>
    <row r="168" spans="12:27" x14ac:dyDescent="0.2">
      <c r="L168" s="22"/>
      <c r="M168" s="22"/>
      <c r="N168" s="22"/>
      <c r="O168" s="22"/>
      <c r="P168" s="22"/>
      <c r="Q168" s="22"/>
      <c r="R168" s="22"/>
      <c r="S168" s="22"/>
      <c r="T168" s="22"/>
      <c r="U168" s="22"/>
      <c r="V168" s="22"/>
      <c r="W168" s="22"/>
      <c r="X168" s="22"/>
      <c r="Y168" s="22"/>
      <c r="Z168" s="22"/>
      <c r="AA168" s="22"/>
    </row>
    <row r="169" spans="12:27" x14ac:dyDescent="0.2">
      <c r="L169" s="22"/>
      <c r="M169" s="22"/>
      <c r="N169" s="22"/>
      <c r="O169" s="22"/>
      <c r="P169" s="22"/>
      <c r="Q169" s="22"/>
      <c r="R169" s="22"/>
      <c r="S169" s="22"/>
      <c r="T169" s="22"/>
      <c r="U169" s="22"/>
      <c r="V169" s="22"/>
      <c r="W169" s="22"/>
      <c r="X169" s="22"/>
      <c r="Y169" s="22"/>
      <c r="Z169" s="22"/>
      <c r="AA169" s="22"/>
    </row>
    <row r="170" spans="12:27" x14ac:dyDescent="0.2">
      <c r="L170" s="22"/>
      <c r="M170" s="22"/>
      <c r="N170" s="22"/>
      <c r="O170" s="22"/>
      <c r="P170" s="22"/>
      <c r="Q170" s="22"/>
      <c r="R170" s="22"/>
      <c r="S170" s="22"/>
      <c r="T170" s="22"/>
      <c r="U170" s="22"/>
      <c r="V170" s="22"/>
      <c r="W170" s="22"/>
      <c r="X170" s="22"/>
      <c r="Y170" s="22"/>
      <c r="Z170" s="22"/>
      <c r="AA170" s="22"/>
    </row>
    <row r="171" spans="12:27" x14ac:dyDescent="0.2">
      <c r="L171" s="22"/>
      <c r="M171" s="22"/>
      <c r="N171" s="22"/>
      <c r="O171" s="22"/>
      <c r="P171" s="22"/>
      <c r="Q171" s="22"/>
      <c r="R171" s="22"/>
      <c r="S171" s="22"/>
      <c r="T171" s="22"/>
      <c r="U171" s="22"/>
      <c r="V171" s="22"/>
      <c r="W171" s="22"/>
      <c r="X171" s="22"/>
      <c r="Y171" s="22"/>
      <c r="Z171" s="22"/>
      <c r="AA171" s="22"/>
    </row>
    <row r="172" spans="12:27" x14ac:dyDescent="0.2">
      <c r="L172" s="22"/>
      <c r="M172" s="22"/>
      <c r="N172" s="22"/>
      <c r="O172" s="22"/>
      <c r="P172" s="22"/>
      <c r="Q172" s="22"/>
      <c r="R172" s="22"/>
      <c r="S172" s="22"/>
      <c r="T172" s="22"/>
      <c r="U172" s="22"/>
      <c r="V172" s="22"/>
      <c r="W172" s="22"/>
      <c r="X172" s="22"/>
      <c r="Y172" s="22"/>
      <c r="Z172" s="22"/>
      <c r="AA172" s="22"/>
    </row>
    <row r="173" spans="12:27" x14ac:dyDescent="0.2">
      <c r="L173" s="22"/>
      <c r="M173" s="22"/>
      <c r="N173" s="22"/>
      <c r="O173" s="22"/>
      <c r="P173" s="22"/>
      <c r="Q173" s="22"/>
      <c r="R173" s="22"/>
      <c r="S173" s="22"/>
      <c r="T173" s="22"/>
      <c r="U173" s="22"/>
      <c r="V173" s="22"/>
      <c r="W173" s="22"/>
      <c r="X173" s="22"/>
      <c r="Y173" s="22"/>
      <c r="Z173" s="22"/>
      <c r="AA173" s="22"/>
    </row>
    <row r="174" spans="12:27" x14ac:dyDescent="0.2">
      <c r="L174" s="22"/>
      <c r="M174" s="22"/>
      <c r="N174" s="22"/>
      <c r="O174" s="22"/>
      <c r="P174" s="22"/>
      <c r="Q174" s="22"/>
      <c r="R174" s="22"/>
      <c r="S174" s="22"/>
      <c r="T174" s="22"/>
      <c r="U174" s="22"/>
      <c r="V174" s="22"/>
      <c r="W174" s="22"/>
      <c r="X174" s="22"/>
      <c r="Y174" s="22"/>
      <c r="Z174" s="22"/>
      <c r="AA174" s="22"/>
    </row>
    <row r="175" spans="12:27" x14ac:dyDescent="0.2">
      <c r="L175" s="22"/>
      <c r="M175" s="22"/>
      <c r="N175" s="22"/>
      <c r="O175" s="22"/>
      <c r="P175" s="22"/>
      <c r="Q175" s="22"/>
      <c r="R175" s="22"/>
      <c r="S175" s="22"/>
      <c r="T175" s="22"/>
      <c r="U175" s="22"/>
      <c r="V175" s="22"/>
      <c r="W175" s="22"/>
      <c r="X175" s="22"/>
      <c r="Y175" s="22"/>
      <c r="Z175" s="22"/>
      <c r="AA175" s="22"/>
    </row>
    <row r="176" spans="12:27" x14ac:dyDescent="0.2">
      <c r="L176" s="22"/>
      <c r="M176" s="22"/>
      <c r="N176" s="22"/>
      <c r="O176" s="22"/>
      <c r="P176" s="22"/>
      <c r="Q176" s="22"/>
      <c r="R176" s="22"/>
      <c r="S176" s="22"/>
      <c r="T176" s="22"/>
      <c r="U176" s="22"/>
      <c r="V176" s="22"/>
      <c r="W176" s="22"/>
      <c r="X176" s="22"/>
      <c r="Y176" s="22"/>
      <c r="Z176" s="22"/>
      <c r="AA176" s="22"/>
    </row>
    <row r="177" spans="12:27" x14ac:dyDescent="0.2">
      <c r="L177" s="22"/>
      <c r="M177" s="22"/>
      <c r="N177" s="22"/>
      <c r="O177" s="22"/>
      <c r="P177" s="22"/>
      <c r="Q177" s="22"/>
      <c r="R177" s="22"/>
      <c r="S177" s="22"/>
      <c r="T177" s="22"/>
      <c r="U177" s="22"/>
      <c r="V177" s="22"/>
      <c r="W177" s="22"/>
      <c r="X177" s="22"/>
      <c r="Y177" s="22"/>
      <c r="Z177" s="22"/>
      <c r="AA177" s="22"/>
    </row>
    <row r="178" spans="12:27" x14ac:dyDescent="0.2">
      <c r="L178" s="22"/>
      <c r="M178" s="22"/>
      <c r="N178" s="22"/>
      <c r="O178" s="22"/>
      <c r="P178" s="22"/>
      <c r="Q178" s="22"/>
      <c r="R178" s="22"/>
      <c r="S178" s="22"/>
      <c r="T178" s="22"/>
      <c r="U178" s="22"/>
      <c r="V178" s="22"/>
      <c r="W178" s="22"/>
      <c r="X178" s="22"/>
      <c r="Y178" s="22"/>
      <c r="Z178" s="22"/>
      <c r="AA178" s="22"/>
    </row>
    <row r="179" spans="12:27" x14ac:dyDescent="0.2">
      <c r="L179" s="22"/>
      <c r="M179" s="22"/>
      <c r="N179" s="22"/>
      <c r="O179" s="22"/>
      <c r="P179" s="22"/>
      <c r="Q179" s="22"/>
      <c r="R179" s="22"/>
      <c r="S179" s="22"/>
      <c r="T179" s="22"/>
      <c r="U179" s="22"/>
      <c r="V179" s="22"/>
      <c r="W179" s="22"/>
      <c r="X179" s="22"/>
      <c r="Y179" s="22"/>
      <c r="Z179" s="22"/>
      <c r="AA179" s="22"/>
    </row>
    <row r="180" spans="12:27" x14ac:dyDescent="0.2">
      <c r="L180" s="22"/>
      <c r="M180" s="22"/>
      <c r="N180" s="22"/>
      <c r="O180" s="22"/>
      <c r="P180" s="22"/>
      <c r="Q180" s="22"/>
      <c r="R180" s="22"/>
      <c r="S180" s="22"/>
      <c r="T180" s="22"/>
      <c r="U180" s="22"/>
      <c r="V180" s="22"/>
      <c r="W180" s="22"/>
      <c r="X180" s="22"/>
      <c r="Y180" s="22"/>
      <c r="Z180" s="22"/>
      <c r="AA180" s="22"/>
    </row>
    <row r="181" spans="12:27" x14ac:dyDescent="0.2">
      <c r="L181" s="22"/>
      <c r="M181" s="22"/>
      <c r="N181" s="22"/>
      <c r="O181" s="22"/>
      <c r="P181" s="22"/>
      <c r="Q181" s="22"/>
      <c r="R181" s="22"/>
      <c r="S181" s="22"/>
      <c r="T181" s="22"/>
      <c r="U181" s="22"/>
      <c r="V181" s="22"/>
      <c r="W181" s="22"/>
      <c r="X181" s="22"/>
      <c r="Y181" s="22"/>
      <c r="Z181" s="22"/>
      <c r="AA181" s="22"/>
    </row>
    <row r="182" spans="12:27" x14ac:dyDescent="0.2">
      <c r="L182" s="22"/>
      <c r="M182" s="22"/>
      <c r="N182" s="22"/>
      <c r="O182" s="22"/>
      <c r="P182" s="22"/>
      <c r="Q182" s="22"/>
      <c r="R182" s="22"/>
      <c r="S182" s="22"/>
      <c r="T182" s="22"/>
      <c r="U182" s="22"/>
      <c r="V182" s="22"/>
      <c r="W182" s="22"/>
      <c r="X182" s="22"/>
      <c r="Y182" s="22"/>
      <c r="Z182" s="22"/>
      <c r="AA182" s="22"/>
    </row>
    <row r="183" spans="12:27" x14ac:dyDescent="0.2">
      <c r="L183" s="22"/>
      <c r="M183" s="22"/>
      <c r="N183" s="22"/>
      <c r="O183" s="22"/>
      <c r="P183" s="22"/>
      <c r="Q183" s="22"/>
      <c r="R183" s="22"/>
      <c r="S183" s="22"/>
      <c r="T183" s="22"/>
      <c r="U183" s="22"/>
      <c r="V183" s="22"/>
      <c r="W183" s="22"/>
      <c r="X183" s="22"/>
      <c r="Y183" s="22"/>
      <c r="Z183" s="22"/>
      <c r="AA183" s="22"/>
    </row>
    <row r="184" spans="12:27" x14ac:dyDescent="0.2">
      <c r="L184" s="22"/>
      <c r="M184" s="22"/>
      <c r="N184" s="22"/>
      <c r="O184" s="22"/>
      <c r="P184" s="22"/>
      <c r="Q184" s="22"/>
      <c r="R184" s="22"/>
      <c r="S184" s="22"/>
      <c r="T184" s="22"/>
      <c r="U184" s="22"/>
      <c r="V184" s="22"/>
      <c r="W184" s="22"/>
      <c r="X184" s="22"/>
      <c r="Y184" s="22"/>
      <c r="Z184" s="22"/>
      <c r="AA184" s="22"/>
    </row>
    <row r="185" spans="12:27" x14ac:dyDescent="0.2">
      <c r="L185" s="22"/>
      <c r="M185" s="22"/>
      <c r="N185" s="22"/>
      <c r="O185" s="22"/>
      <c r="P185" s="22"/>
      <c r="Q185" s="22"/>
      <c r="R185" s="22"/>
      <c r="S185" s="22"/>
      <c r="T185" s="22"/>
      <c r="U185" s="22"/>
      <c r="V185" s="22"/>
      <c r="W185" s="22"/>
      <c r="X185" s="22"/>
      <c r="Y185" s="22"/>
      <c r="Z185" s="22"/>
      <c r="AA185" s="22"/>
    </row>
    <row r="186" spans="12:27" x14ac:dyDescent="0.2">
      <c r="L186" s="22"/>
      <c r="M186" s="22"/>
      <c r="N186" s="22"/>
      <c r="O186" s="22"/>
      <c r="P186" s="22"/>
      <c r="Q186" s="22"/>
      <c r="R186" s="22"/>
      <c r="S186" s="22"/>
      <c r="T186" s="22"/>
      <c r="U186" s="22"/>
      <c r="V186" s="22"/>
      <c r="W186" s="22"/>
      <c r="X186" s="22"/>
      <c r="Y186" s="22"/>
      <c r="Z186" s="22"/>
      <c r="AA186" s="22"/>
    </row>
    <row r="187" spans="12:27" x14ac:dyDescent="0.2">
      <c r="L187" s="22"/>
      <c r="M187" s="22"/>
      <c r="N187" s="22"/>
      <c r="O187" s="22"/>
      <c r="P187" s="22"/>
      <c r="Q187" s="22"/>
      <c r="R187" s="22"/>
      <c r="S187" s="22"/>
      <c r="T187" s="22"/>
      <c r="U187" s="22"/>
      <c r="V187" s="22"/>
      <c r="W187" s="22"/>
      <c r="X187" s="22"/>
      <c r="Y187" s="22"/>
      <c r="Z187" s="22"/>
      <c r="AA187" s="22"/>
    </row>
    <row r="188" spans="12:27" x14ac:dyDescent="0.2">
      <c r="L188" s="22"/>
      <c r="M188" s="22"/>
      <c r="N188" s="22"/>
      <c r="O188" s="22"/>
      <c r="P188" s="22"/>
      <c r="Q188" s="22"/>
      <c r="R188" s="22"/>
      <c r="S188" s="22"/>
      <c r="T188" s="22"/>
      <c r="U188" s="22"/>
      <c r="V188" s="22"/>
      <c r="W188" s="22"/>
      <c r="X188" s="22"/>
      <c r="Y188" s="22"/>
      <c r="Z188" s="22"/>
      <c r="AA188" s="22"/>
    </row>
    <row r="189" spans="12:27" x14ac:dyDescent="0.2">
      <c r="L189" s="22"/>
      <c r="M189" s="22"/>
      <c r="N189" s="22"/>
      <c r="O189" s="22"/>
      <c r="P189" s="22"/>
      <c r="Q189" s="22"/>
      <c r="R189" s="22"/>
      <c r="S189" s="22"/>
      <c r="T189" s="22"/>
      <c r="U189" s="22"/>
      <c r="V189" s="22"/>
      <c r="W189" s="22"/>
      <c r="X189" s="22"/>
      <c r="Y189" s="22"/>
      <c r="Z189" s="22"/>
      <c r="AA189" s="22"/>
    </row>
    <row r="190" spans="12:27" x14ac:dyDescent="0.2">
      <c r="L190" s="22"/>
      <c r="M190" s="22"/>
      <c r="N190" s="22"/>
      <c r="O190" s="22"/>
      <c r="P190" s="22"/>
      <c r="Q190" s="22"/>
      <c r="R190" s="22"/>
      <c r="S190" s="22"/>
      <c r="T190" s="22"/>
      <c r="U190" s="22"/>
      <c r="V190" s="22"/>
      <c r="W190" s="22"/>
      <c r="X190" s="22"/>
      <c r="Y190" s="22"/>
      <c r="Z190" s="22"/>
      <c r="AA190" s="22"/>
    </row>
    <row r="191" spans="12:27" x14ac:dyDescent="0.2">
      <c r="L191" s="22"/>
      <c r="M191" s="22"/>
      <c r="N191" s="22"/>
      <c r="O191" s="22"/>
      <c r="P191" s="22"/>
      <c r="Q191" s="22"/>
      <c r="R191" s="22"/>
      <c r="S191" s="22"/>
      <c r="T191" s="22"/>
      <c r="U191" s="22"/>
      <c r="V191" s="22"/>
      <c r="W191" s="22"/>
      <c r="X191" s="22"/>
      <c r="Y191" s="22"/>
      <c r="Z191" s="22"/>
      <c r="AA191" s="22"/>
    </row>
    <row r="192" spans="12:27" x14ac:dyDescent="0.2">
      <c r="L192" s="22"/>
      <c r="M192" s="22"/>
      <c r="N192" s="22"/>
      <c r="O192" s="22"/>
      <c r="P192" s="22"/>
      <c r="Q192" s="22"/>
      <c r="R192" s="22"/>
      <c r="S192" s="22"/>
      <c r="T192" s="22"/>
      <c r="U192" s="22"/>
      <c r="V192" s="22"/>
      <c r="W192" s="22"/>
      <c r="X192" s="22"/>
      <c r="Y192" s="22"/>
      <c r="Z192" s="22"/>
      <c r="AA192" s="22"/>
    </row>
    <row r="193" spans="12:27" x14ac:dyDescent="0.2">
      <c r="L193" s="22"/>
      <c r="M193" s="22"/>
      <c r="N193" s="22"/>
      <c r="O193" s="22"/>
      <c r="P193" s="22"/>
      <c r="Q193" s="22"/>
      <c r="R193" s="22"/>
      <c r="S193" s="22"/>
      <c r="T193" s="22"/>
      <c r="U193" s="22"/>
      <c r="V193" s="22"/>
      <c r="W193" s="22"/>
      <c r="X193" s="22"/>
      <c r="Y193" s="22"/>
      <c r="Z193" s="22"/>
      <c r="AA193" s="22"/>
    </row>
    <row r="194" spans="12:27" x14ac:dyDescent="0.2">
      <c r="L194" s="22"/>
      <c r="M194" s="22"/>
      <c r="N194" s="22"/>
      <c r="O194" s="22"/>
      <c r="P194" s="22"/>
      <c r="Q194" s="22"/>
      <c r="R194" s="22"/>
      <c r="S194" s="22"/>
      <c r="T194" s="22"/>
      <c r="U194" s="22"/>
      <c r="V194" s="22"/>
      <c r="W194" s="22"/>
      <c r="X194" s="22"/>
      <c r="Y194" s="22"/>
      <c r="Z194" s="22"/>
      <c r="AA194" s="22"/>
    </row>
    <row r="195" spans="12:27" x14ac:dyDescent="0.2">
      <c r="L195" s="22"/>
      <c r="M195" s="22"/>
      <c r="N195" s="22"/>
      <c r="O195" s="22"/>
      <c r="P195" s="22"/>
      <c r="Q195" s="22"/>
      <c r="R195" s="22"/>
      <c r="S195" s="22"/>
      <c r="T195" s="22"/>
      <c r="U195" s="22"/>
      <c r="V195" s="22"/>
      <c r="W195" s="22"/>
      <c r="X195" s="22"/>
      <c r="Y195" s="22"/>
      <c r="Z195" s="22"/>
      <c r="AA195" s="22"/>
    </row>
    <row r="196" spans="12:27" x14ac:dyDescent="0.2">
      <c r="L196" s="22"/>
      <c r="M196" s="22"/>
      <c r="N196" s="22"/>
      <c r="O196" s="22"/>
      <c r="P196" s="22"/>
      <c r="Q196" s="22"/>
      <c r="R196" s="22"/>
      <c r="S196" s="22"/>
      <c r="T196" s="22"/>
      <c r="U196" s="22"/>
      <c r="V196" s="22"/>
      <c r="W196" s="22"/>
      <c r="X196" s="22"/>
      <c r="Y196" s="22"/>
      <c r="Z196" s="22"/>
      <c r="AA196" s="22"/>
    </row>
    <row r="197" spans="12:27" x14ac:dyDescent="0.2">
      <c r="L197" s="22"/>
      <c r="M197" s="22"/>
      <c r="N197" s="22"/>
      <c r="O197" s="22"/>
      <c r="P197" s="22"/>
      <c r="Q197" s="22"/>
      <c r="R197" s="22"/>
      <c r="S197" s="22"/>
      <c r="T197" s="22"/>
      <c r="U197" s="22"/>
      <c r="V197" s="22"/>
      <c r="W197" s="22"/>
      <c r="X197" s="22"/>
      <c r="Y197" s="22"/>
      <c r="Z197" s="22"/>
      <c r="AA197" s="22"/>
    </row>
    <row r="198" spans="12:27" x14ac:dyDescent="0.2">
      <c r="L198" s="22"/>
      <c r="M198" s="22"/>
      <c r="N198" s="22"/>
      <c r="O198" s="22"/>
      <c r="P198" s="22"/>
      <c r="Q198" s="22"/>
      <c r="R198" s="22"/>
      <c r="S198" s="22"/>
      <c r="T198" s="22"/>
      <c r="U198" s="22"/>
      <c r="V198" s="22"/>
      <c r="W198" s="22"/>
      <c r="X198" s="22"/>
      <c r="Y198" s="22"/>
      <c r="Z198" s="22"/>
      <c r="AA198" s="22"/>
    </row>
    <row r="199" spans="12:27" x14ac:dyDescent="0.2">
      <c r="L199" s="22"/>
      <c r="M199" s="22"/>
      <c r="N199" s="22"/>
      <c r="O199" s="22"/>
      <c r="P199" s="22"/>
      <c r="Q199" s="22"/>
      <c r="R199" s="22"/>
      <c r="S199" s="22"/>
      <c r="T199" s="22"/>
      <c r="U199" s="22"/>
      <c r="V199" s="22"/>
      <c r="W199" s="22"/>
      <c r="X199" s="22"/>
      <c r="Y199" s="22"/>
      <c r="Z199" s="22"/>
      <c r="AA199" s="22"/>
    </row>
    <row r="200" spans="12:27" x14ac:dyDescent="0.2">
      <c r="L200" s="22"/>
      <c r="M200" s="22"/>
      <c r="N200" s="22"/>
      <c r="O200" s="22"/>
      <c r="P200" s="22"/>
      <c r="Q200" s="22"/>
      <c r="R200" s="22"/>
      <c r="S200" s="22"/>
      <c r="T200" s="22"/>
      <c r="U200" s="22"/>
      <c r="V200" s="22"/>
      <c r="W200" s="22"/>
      <c r="X200" s="22"/>
      <c r="Y200" s="22"/>
      <c r="Z200" s="22"/>
      <c r="AA200" s="22"/>
    </row>
    <row r="201" spans="12:27" x14ac:dyDescent="0.2">
      <c r="L201" s="22"/>
      <c r="M201" s="22"/>
      <c r="N201" s="22"/>
      <c r="O201" s="22"/>
      <c r="P201" s="22"/>
      <c r="Q201" s="22"/>
      <c r="R201" s="22"/>
      <c r="S201" s="22"/>
      <c r="T201" s="22"/>
      <c r="U201" s="22"/>
      <c r="V201" s="22"/>
      <c r="W201" s="22"/>
      <c r="X201" s="22"/>
      <c r="Y201" s="22"/>
      <c r="Z201" s="22"/>
      <c r="AA201" s="22"/>
    </row>
    <row r="202" spans="12:27" x14ac:dyDescent="0.2">
      <c r="L202" s="22"/>
      <c r="M202" s="22"/>
      <c r="N202" s="22"/>
      <c r="O202" s="22"/>
      <c r="P202" s="22"/>
      <c r="Q202" s="22"/>
      <c r="R202" s="22"/>
      <c r="S202" s="22"/>
      <c r="T202" s="22"/>
      <c r="U202" s="22"/>
      <c r="V202" s="22"/>
      <c r="W202" s="22"/>
      <c r="X202" s="22"/>
      <c r="Y202" s="22"/>
      <c r="Z202" s="22"/>
      <c r="AA202" s="22"/>
    </row>
    <row r="203" spans="12:27" x14ac:dyDescent="0.2">
      <c r="L203" s="22"/>
      <c r="M203" s="22"/>
      <c r="N203" s="22"/>
      <c r="O203" s="22"/>
      <c r="P203" s="22"/>
      <c r="Q203" s="22"/>
      <c r="R203" s="22"/>
      <c r="S203" s="22"/>
      <c r="T203" s="22"/>
      <c r="U203" s="22"/>
      <c r="V203" s="22"/>
      <c r="W203" s="22"/>
      <c r="X203" s="22"/>
      <c r="Y203" s="22"/>
      <c r="Z203" s="22"/>
      <c r="AA203" s="22"/>
    </row>
    <row r="204" spans="12:27" x14ac:dyDescent="0.2">
      <c r="L204" s="22"/>
      <c r="M204" s="22"/>
      <c r="N204" s="22"/>
      <c r="O204" s="22"/>
      <c r="P204" s="22"/>
      <c r="Q204" s="22"/>
      <c r="R204" s="22"/>
      <c r="S204" s="22"/>
      <c r="T204" s="22"/>
      <c r="U204" s="22"/>
      <c r="V204" s="22"/>
      <c r="W204" s="22"/>
      <c r="X204" s="22"/>
      <c r="Y204" s="22"/>
      <c r="Z204" s="22"/>
      <c r="AA204" s="22"/>
    </row>
    <row r="205" spans="12:27" x14ac:dyDescent="0.2">
      <c r="L205" s="22"/>
      <c r="M205" s="22"/>
      <c r="N205" s="22"/>
      <c r="O205" s="22"/>
      <c r="P205" s="22"/>
      <c r="Q205" s="22"/>
      <c r="R205" s="22"/>
      <c r="S205" s="22"/>
      <c r="T205" s="22"/>
      <c r="U205" s="22"/>
      <c r="V205" s="22"/>
      <c r="W205" s="22"/>
      <c r="X205" s="22"/>
      <c r="Y205" s="22"/>
      <c r="Z205" s="22"/>
      <c r="AA205" s="22"/>
    </row>
    <row r="206" spans="12:27" x14ac:dyDescent="0.2">
      <c r="L206" s="22"/>
      <c r="M206" s="22"/>
      <c r="N206" s="22"/>
      <c r="O206" s="22"/>
      <c r="P206" s="22"/>
      <c r="Q206" s="22"/>
      <c r="R206" s="22"/>
      <c r="S206" s="22"/>
      <c r="T206" s="22"/>
      <c r="U206" s="22"/>
      <c r="V206" s="22"/>
      <c r="W206" s="22"/>
      <c r="X206" s="22"/>
      <c r="Y206" s="22"/>
      <c r="Z206" s="22"/>
      <c r="AA206" s="22"/>
    </row>
    <row r="207" spans="12:27" x14ac:dyDescent="0.2">
      <c r="L207" s="22"/>
      <c r="M207" s="22"/>
      <c r="N207" s="22"/>
      <c r="O207" s="22"/>
      <c r="P207" s="22"/>
      <c r="Q207" s="22"/>
      <c r="R207" s="22"/>
      <c r="S207" s="22"/>
      <c r="T207" s="22"/>
      <c r="U207" s="22"/>
      <c r="V207" s="22"/>
      <c r="W207" s="22"/>
      <c r="X207" s="22"/>
      <c r="Y207" s="22"/>
      <c r="Z207" s="22"/>
      <c r="AA207" s="22"/>
    </row>
    <row r="208" spans="12:27" x14ac:dyDescent="0.2">
      <c r="L208" s="22"/>
      <c r="M208" s="22"/>
      <c r="N208" s="22"/>
      <c r="O208" s="22"/>
      <c r="P208" s="22"/>
      <c r="Q208" s="22"/>
      <c r="R208" s="22"/>
      <c r="S208" s="22"/>
      <c r="T208" s="22"/>
      <c r="U208" s="22"/>
      <c r="V208" s="22"/>
      <c r="W208" s="22"/>
      <c r="X208" s="22"/>
      <c r="Y208" s="22"/>
      <c r="Z208" s="22"/>
      <c r="AA208" s="22"/>
    </row>
    <row r="209" spans="12:27" x14ac:dyDescent="0.2">
      <c r="L209" s="22"/>
      <c r="M209" s="22"/>
      <c r="N209" s="22"/>
      <c r="O209" s="22"/>
      <c r="P209" s="22"/>
      <c r="Q209" s="22"/>
      <c r="R209" s="22"/>
      <c r="S209" s="22"/>
      <c r="T209" s="22"/>
      <c r="U209" s="22"/>
      <c r="V209" s="22"/>
      <c r="W209" s="22"/>
      <c r="X209" s="22"/>
      <c r="Y209" s="22"/>
      <c r="Z209" s="22"/>
      <c r="AA209" s="22"/>
    </row>
    <row r="210" spans="12:27" x14ac:dyDescent="0.2">
      <c r="L210" s="22"/>
      <c r="M210" s="22"/>
      <c r="N210" s="22"/>
      <c r="O210" s="22"/>
      <c r="P210" s="22"/>
      <c r="Q210" s="22"/>
      <c r="R210" s="22"/>
      <c r="S210" s="22"/>
      <c r="T210" s="22"/>
      <c r="U210" s="22"/>
      <c r="V210" s="22"/>
      <c r="W210" s="22"/>
      <c r="X210" s="22"/>
      <c r="Y210" s="22"/>
      <c r="Z210" s="22"/>
      <c r="AA210" s="22"/>
    </row>
    <row r="211" spans="12:27" x14ac:dyDescent="0.2">
      <c r="L211" s="22"/>
      <c r="M211" s="22"/>
      <c r="N211" s="22"/>
      <c r="O211" s="22"/>
      <c r="P211" s="22"/>
      <c r="Q211" s="22"/>
      <c r="R211" s="22"/>
      <c r="S211" s="22"/>
      <c r="T211" s="22"/>
      <c r="U211" s="22"/>
      <c r="V211" s="22"/>
      <c r="W211" s="22"/>
      <c r="X211" s="22"/>
      <c r="Y211" s="22"/>
      <c r="Z211" s="22"/>
      <c r="AA211" s="22"/>
    </row>
    <row r="212" spans="12:27" x14ac:dyDescent="0.2">
      <c r="L212" s="22"/>
      <c r="M212" s="22"/>
      <c r="N212" s="22"/>
      <c r="O212" s="22"/>
      <c r="P212" s="22"/>
      <c r="Q212" s="22"/>
      <c r="R212" s="22"/>
      <c r="S212" s="22"/>
      <c r="T212" s="22"/>
      <c r="U212" s="22"/>
      <c r="V212" s="22"/>
      <c r="W212" s="22"/>
      <c r="X212" s="22"/>
      <c r="Y212" s="22"/>
      <c r="Z212" s="22"/>
      <c r="AA212" s="22"/>
    </row>
    <row r="213" spans="12:27" x14ac:dyDescent="0.2">
      <c r="L213" s="22"/>
      <c r="M213" s="22"/>
      <c r="N213" s="22"/>
      <c r="O213" s="22"/>
      <c r="P213" s="22"/>
      <c r="Q213" s="22"/>
      <c r="R213" s="22"/>
      <c r="S213" s="22"/>
      <c r="T213" s="22"/>
      <c r="U213" s="22"/>
      <c r="V213" s="22"/>
      <c r="W213" s="22"/>
      <c r="X213" s="22"/>
      <c r="Y213" s="22"/>
      <c r="Z213" s="22"/>
      <c r="AA213" s="22"/>
    </row>
    <row r="214" spans="12:27" x14ac:dyDescent="0.2">
      <c r="L214" s="22"/>
      <c r="M214" s="22"/>
      <c r="N214" s="22"/>
      <c r="O214" s="22"/>
      <c r="P214" s="22"/>
      <c r="Q214" s="22"/>
      <c r="R214" s="22"/>
      <c r="S214" s="22"/>
      <c r="T214" s="22"/>
      <c r="U214" s="22"/>
      <c r="V214" s="22"/>
      <c r="W214" s="22"/>
      <c r="X214" s="22"/>
      <c r="Y214" s="22"/>
      <c r="Z214" s="22"/>
      <c r="AA214" s="22"/>
    </row>
    <row r="215" spans="12:27" x14ac:dyDescent="0.2">
      <c r="L215" s="22"/>
      <c r="M215" s="22"/>
      <c r="N215" s="22"/>
      <c r="O215" s="22"/>
      <c r="P215" s="22"/>
      <c r="Q215" s="22"/>
      <c r="R215" s="22"/>
      <c r="S215" s="22"/>
      <c r="T215" s="22"/>
      <c r="U215" s="22"/>
      <c r="V215" s="22"/>
      <c r="W215" s="22"/>
      <c r="X215" s="22"/>
      <c r="Y215" s="22"/>
      <c r="Z215" s="22"/>
      <c r="AA215" s="22"/>
    </row>
    <row r="216" spans="12:27" x14ac:dyDescent="0.2">
      <c r="L216" s="22"/>
      <c r="M216" s="22"/>
      <c r="N216" s="22"/>
      <c r="O216" s="22"/>
      <c r="P216" s="22"/>
      <c r="Q216" s="22"/>
      <c r="R216" s="22"/>
      <c r="S216" s="22"/>
      <c r="T216" s="22"/>
      <c r="U216" s="22"/>
      <c r="V216" s="22"/>
      <c r="W216" s="22"/>
      <c r="X216" s="22"/>
      <c r="Y216" s="22"/>
      <c r="Z216" s="22"/>
      <c r="AA216" s="22"/>
    </row>
    <row r="217" spans="12:27" x14ac:dyDescent="0.2">
      <c r="L217" s="22"/>
      <c r="M217" s="22"/>
      <c r="N217" s="22"/>
      <c r="O217" s="22"/>
      <c r="P217" s="22"/>
      <c r="Q217" s="22"/>
      <c r="R217" s="22"/>
      <c r="S217" s="22"/>
      <c r="T217" s="22"/>
      <c r="U217" s="22"/>
      <c r="V217" s="22"/>
      <c r="W217" s="22"/>
      <c r="X217" s="22"/>
      <c r="Y217" s="22"/>
      <c r="Z217" s="22"/>
      <c r="AA217" s="22"/>
    </row>
    <row r="218" spans="12:27" x14ac:dyDescent="0.2">
      <c r="L218" s="22"/>
      <c r="M218" s="22"/>
      <c r="N218" s="22"/>
      <c r="O218" s="22"/>
      <c r="P218" s="22"/>
      <c r="Q218" s="22"/>
      <c r="R218" s="22"/>
      <c r="S218" s="22"/>
      <c r="T218" s="22"/>
      <c r="U218" s="22"/>
      <c r="V218" s="22"/>
      <c r="W218" s="22"/>
      <c r="X218" s="22"/>
      <c r="Y218" s="22"/>
      <c r="Z218" s="22"/>
      <c r="AA218" s="22"/>
    </row>
    <row r="219" spans="12:27" x14ac:dyDescent="0.2">
      <c r="L219" s="22"/>
      <c r="M219" s="22"/>
      <c r="N219" s="22"/>
      <c r="O219" s="22"/>
      <c r="P219" s="22"/>
      <c r="Q219" s="22"/>
      <c r="R219" s="22"/>
      <c r="S219" s="22"/>
      <c r="T219" s="22"/>
      <c r="U219" s="22"/>
      <c r="V219" s="22"/>
      <c r="W219" s="22"/>
      <c r="X219" s="22"/>
      <c r="Y219" s="22"/>
      <c r="Z219" s="22"/>
      <c r="AA219" s="22"/>
    </row>
    <row r="220" spans="12:27" x14ac:dyDescent="0.2">
      <c r="L220" s="22"/>
      <c r="M220" s="22"/>
      <c r="N220" s="22"/>
      <c r="O220" s="22"/>
      <c r="P220" s="22"/>
      <c r="Q220" s="22"/>
      <c r="R220" s="22"/>
      <c r="S220" s="22"/>
      <c r="T220" s="22"/>
      <c r="U220" s="22"/>
      <c r="V220" s="22"/>
      <c r="W220" s="22"/>
      <c r="X220" s="22"/>
      <c r="Y220" s="22"/>
      <c r="Z220" s="22"/>
      <c r="AA220" s="22"/>
    </row>
    <row r="221" spans="12:27" x14ac:dyDescent="0.2">
      <c r="L221" s="22"/>
      <c r="M221" s="22"/>
      <c r="N221" s="22"/>
      <c r="O221" s="22"/>
      <c r="P221" s="22"/>
      <c r="Q221" s="22"/>
      <c r="R221" s="22"/>
      <c r="S221" s="22"/>
      <c r="T221" s="22"/>
      <c r="U221" s="22"/>
      <c r="V221" s="22"/>
      <c r="W221" s="22"/>
      <c r="X221" s="22"/>
      <c r="Y221" s="22"/>
      <c r="Z221" s="22"/>
      <c r="AA221" s="22"/>
    </row>
    <row r="222" spans="12:27" x14ac:dyDescent="0.2">
      <c r="L222" s="22"/>
      <c r="M222" s="22"/>
      <c r="N222" s="22"/>
      <c r="O222" s="22"/>
      <c r="P222" s="22"/>
      <c r="Q222" s="22"/>
      <c r="R222" s="22"/>
      <c r="S222" s="22"/>
      <c r="T222" s="22"/>
      <c r="U222" s="22"/>
      <c r="V222" s="22"/>
      <c r="W222" s="22"/>
      <c r="X222" s="22"/>
      <c r="Y222" s="22"/>
      <c r="Z222" s="22"/>
      <c r="AA222" s="22"/>
    </row>
    <row r="223" spans="12:27" x14ac:dyDescent="0.2">
      <c r="L223" s="22"/>
      <c r="M223" s="22"/>
      <c r="N223" s="22"/>
      <c r="O223" s="22"/>
      <c r="P223" s="22"/>
      <c r="Q223" s="22"/>
      <c r="R223" s="22"/>
      <c r="S223" s="22"/>
      <c r="T223" s="22"/>
      <c r="U223" s="22"/>
      <c r="V223" s="22"/>
      <c r="W223" s="22"/>
      <c r="X223" s="22"/>
      <c r="Y223" s="22"/>
      <c r="Z223" s="22"/>
      <c r="AA223" s="22"/>
    </row>
    <row r="224" spans="12:27" x14ac:dyDescent="0.2">
      <c r="L224" s="22"/>
      <c r="M224" s="22"/>
      <c r="N224" s="22"/>
      <c r="O224" s="22"/>
      <c r="P224" s="22"/>
      <c r="Q224" s="22"/>
      <c r="R224" s="22"/>
      <c r="S224" s="22"/>
      <c r="T224" s="22"/>
      <c r="U224" s="22"/>
      <c r="V224" s="22"/>
      <c r="W224" s="22"/>
      <c r="X224" s="22"/>
      <c r="Y224" s="22"/>
      <c r="Z224" s="22"/>
      <c r="AA224" s="22"/>
    </row>
    <row r="225" spans="12:27" x14ac:dyDescent="0.2">
      <c r="L225" s="22"/>
      <c r="M225" s="22"/>
      <c r="N225" s="22"/>
      <c r="O225" s="22"/>
      <c r="P225" s="22"/>
      <c r="Q225" s="22"/>
      <c r="R225" s="22"/>
      <c r="S225" s="22"/>
      <c r="T225" s="22"/>
      <c r="U225" s="22"/>
      <c r="V225" s="22"/>
      <c r="W225" s="22"/>
      <c r="X225" s="22"/>
      <c r="Y225" s="22"/>
      <c r="Z225" s="22"/>
      <c r="AA225" s="22"/>
    </row>
    <row r="226" spans="12:27" x14ac:dyDescent="0.2">
      <c r="L226" s="22"/>
      <c r="M226" s="22"/>
      <c r="N226" s="22"/>
      <c r="O226" s="22"/>
      <c r="P226" s="22"/>
      <c r="Q226" s="22"/>
      <c r="R226" s="22"/>
      <c r="S226" s="22"/>
      <c r="T226" s="22"/>
      <c r="U226" s="22"/>
      <c r="V226" s="22"/>
      <c r="W226" s="22"/>
      <c r="X226" s="22"/>
      <c r="Y226" s="22"/>
      <c r="Z226" s="22"/>
      <c r="AA226" s="22"/>
    </row>
    <row r="227" spans="12:27" x14ac:dyDescent="0.2">
      <c r="L227" s="22"/>
      <c r="M227" s="22"/>
      <c r="N227" s="22"/>
      <c r="O227" s="22"/>
      <c r="P227" s="22"/>
      <c r="Q227" s="22"/>
      <c r="R227" s="22"/>
      <c r="S227" s="22"/>
      <c r="T227" s="22"/>
      <c r="U227" s="22"/>
      <c r="V227" s="22"/>
      <c r="W227" s="22"/>
      <c r="X227" s="22"/>
      <c r="Y227" s="22"/>
      <c r="Z227" s="22"/>
      <c r="AA227" s="22"/>
    </row>
    <row r="228" spans="12:27" x14ac:dyDescent="0.2">
      <c r="L228" s="22"/>
      <c r="M228" s="22"/>
      <c r="N228" s="22"/>
      <c r="O228" s="22"/>
      <c r="P228" s="22"/>
      <c r="Q228" s="22"/>
      <c r="R228" s="22"/>
      <c r="S228" s="22"/>
      <c r="T228" s="22"/>
      <c r="U228" s="22"/>
      <c r="V228" s="22"/>
      <c r="W228" s="22"/>
      <c r="X228" s="22"/>
      <c r="Y228" s="22"/>
      <c r="Z228" s="22"/>
      <c r="AA228" s="22"/>
    </row>
    <row r="229" spans="12:27" x14ac:dyDescent="0.2">
      <c r="L229" s="22"/>
      <c r="M229" s="22"/>
      <c r="N229" s="22"/>
      <c r="O229" s="22"/>
      <c r="P229" s="22"/>
      <c r="Q229" s="22"/>
      <c r="R229" s="22"/>
      <c r="S229" s="22"/>
      <c r="T229" s="22"/>
      <c r="U229" s="22"/>
      <c r="V229" s="22"/>
      <c r="W229" s="22"/>
      <c r="X229" s="22"/>
      <c r="Y229" s="22"/>
      <c r="Z229" s="22"/>
      <c r="AA229" s="22"/>
    </row>
    <row r="230" spans="12:27" x14ac:dyDescent="0.2">
      <c r="L230" s="22"/>
      <c r="M230" s="22"/>
      <c r="N230" s="22"/>
      <c r="O230" s="22"/>
      <c r="P230" s="22"/>
      <c r="Q230" s="22"/>
      <c r="R230" s="22"/>
      <c r="S230" s="22"/>
      <c r="T230" s="22"/>
      <c r="U230" s="22"/>
      <c r="V230" s="22"/>
      <c r="W230" s="22"/>
      <c r="X230" s="22"/>
      <c r="Y230" s="22"/>
      <c r="Z230" s="22"/>
      <c r="AA230" s="22"/>
    </row>
    <row r="231" spans="12:27" x14ac:dyDescent="0.2">
      <c r="L231" s="22"/>
      <c r="M231" s="22"/>
      <c r="N231" s="22"/>
      <c r="O231" s="22"/>
      <c r="P231" s="22"/>
      <c r="Q231" s="22"/>
      <c r="R231" s="22"/>
      <c r="S231" s="22"/>
      <c r="T231" s="22"/>
      <c r="U231" s="22"/>
      <c r="V231" s="22"/>
      <c r="W231" s="22"/>
      <c r="X231" s="22"/>
      <c r="Y231" s="22"/>
      <c r="Z231" s="22"/>
      <c r="AA231" s="22"/>
    </row>
    <row r="232" spans="12:27" x14ac:dyDescent="0.2">
      <c r="L232" s="22"/>
      <c r="M232" s="22"/>
      <c r="N232" s="22"/>
      <c r="O232" s="22"/>
      <c r="P232" s="22"/>
      <c r="Q232" s="22"/>
      <c r="R232" s="22"/>
      <c r="S232" s="22"/>
      <c r="T232" s="22"/>
      <c r="U232" s="22"/>
      <c r="V232" s="22"/>
      <c r="W232" s="22"/>
      <c r="X232" s="22"/>
      <c r="Y232" s="22"/>
      <c r="Z232" s="22"/>
      <c r="AA232" s="22"/>
    </row>
    <row r="233" spans="12:27" x14ac:dyDescent="0.2">
      <c r="L233" s="22"/>
      <c r="M233" s="22"/>
      <c r="N233" s="22"/>
      <c r="O233" s="22"/>
      <c r="P233" s="22"/>
      <c r="Q233" s="22"/>
      <c r="R233" s="22"/>
      <c r="S233" s="22"/>
      <c r="T233" s="22"/>
      <c r="U233" s="22"/>
      <c r="V233" s="22"/>
      <c r="W233" s="22"/>
      <c r="X233" s="22"/>
      <c r="Y233" s="22"/>
      <c r="Z233" s="22"/>
      <c r="AA233" s="22"/>
    </row>
    <row r="234" spans="12:27" x14ac:dyDescent="0.2">
      <c r="L234" s="22"/>
      <c r="M234" s="22"/>
      <c r="N234" s="22"/>
      <c r="O234" s="22"/>
      <c r="P234" s="22"/>
      <c r="Q234" s="22"/>
      <c r="R234" s="22"/>
      <c r="S234" s="22"/>
      <c r="T234" s="22"/>
      <c r="U234" s="22"/>
      <c r="V234" s="22"/>
      <c r="W234" s="22"/>
      <c r="X234" s="22"/>
      <c r="Y234" s="22"/>
      <c r="Z234" s="22"/>
      <c r="AA234" s="22"/>
    </row>
    <row r="235" spans="12:27" x14ac:dyDescent="0.2">
      <c r="L235" s="22"/>
      <c r="M235" s="22"/>
      <c r="N235" s="22"/>
      <c r="O235" s="22"/>
      <c r="P235" s="22"/>
      <c r="Q235" s="22"/>
      <c r="R235" s="22"/>
      <c r="S235" s="22"/>
      <c r="T235" s="22"/>
      <c r="U235" s="22"/>
      <c r="V235" s="22"/>
      <c r="W235" s="22"/>
      <c r="X235" s="22"/>
      <c r="Y235" s="22"/>
      <c r="Z235" s="22"/>
      <c r="AA235" s="22"/>
    </row>
    <row r="236" spans="12:27" x14ac:dyDescent="0.2">
      <c r="L236" s="22"/>
      <c r="M236" s="22"/>
      <c r="N236" s="22"/>
      <c r="O236" s="22"/>
      <c r="P236" s="22"/>
      <c r="Q236" s="22"/>
      <c r="R236" s="22"/>
      <c r="S236" s="22"/>
      <c r="T236" s="22"/>
      <c r="U236" s="22"/>
      <c r="V236" s="22"/>
      <c r="W236" s="22"/>
      <c r="X236" s="22"/>
      <c r="Y236" s="22"/>
      <c r="Z236" s="22"/>
      <c r="AA236" s="22"/>
    </row>
    <row r="237" spans="12:27" x14ac:dyDescent="0.2">
      <c r="L237" s="22"/>
      <c r="M237" s="22"/>
      <c r="N237" s="22"/>
      <c r="O237" s="22"/>
      <c r="P237" s="22"/>
      <c r="Q237" s="22"/>
      <c r="R237" s="22"/>
      <c r="S237" s="22"/>
      <c r="T237" s="22"/>
      <c r="U237" s="22"/>
      <c r="V237" s="22"/>
      <c r="W237" s="22"/>
      <c r="X237" s="22"/>
      <c r="Y237" s="22"/>
      <c r="Z237" s="22"/>
      <c r="AA237" s="22"/>
    </row>
    <row r="238" spans="12:27" x14ac:dyDescent="0.2">
      <c r="L238" s="22"/>
      <c r="M238" s="22"/>
      <c r="N238" s="22"/>
      <c r="O238" s="22"/>
      <c r="P238" s="22"/>
      <c r="Q238" s="22"/>
      <c r="R238" s="22"/>
      <c r="S238" s="22"/>
      <c r="T238" s="22"/>
      <c r="U238" s="22"/>
      <c r="V238" s="22"/>
      <c r="W238" s="22"/>
      <c r="X238" s="22"/>
      <c r="Y238" s="22"/>
      <c r="Z238" s="22"/>
      <c r="AA238" s="22"/>
    </row>
    <row r="239" spans="12:27" x14ac:dyDescent="0.2">
      <c r="L239" s="22"/>
      <c r="M239" s="22"/>
      <c r="N239" s="22"/>
      <c r="O239" s="22"/>
      <c r="P239" s="22"/>
      <c r="Q239" s="22"/>
      <c r="R239" s="22"/>
      <c r="S239" s="22"/>
      <c r="T239" s="22"/>
      <c r="U239" s="22"/>
      <c r="V239" s="22"/>
      <c r="W239" s="22"/>
      <c r="X239" s="22"/>
      <c r="Y239" s="22"/>
      <c r="Z239" s="22"/>
      <c r="AA239" s="22"/>
    </row>
    <row r="240" spans="12:27" x14ac:dyDescent="0.2">
      <c r="L240" s="22"/>
      <c r="M240" s="22"/>
      <c r="N240" s="22"/>
      <c r="O240" s="22"/>
      <c r="P240" s="22"/>
      <c r="Q240" s="22"/>
      <c r="R240" s="22"/>
      <c r="S240" s="22"/>
      <c r="T240" s="22"/>
      <c r="U240" s="22"/>
      <c r="V240" s="22"/>
      <c r="W240" s="22"/>
      <c r="X240" s="22"/>
      <c r="Y240" s="22"/>
      <c r="Z240" s="22"/>
      <c r="AA240" s="22"/>
    </row>
    <row r="241" spans="12:27" x14ac:dyDescent="0.2">
      <c r="L241" s="22"/>
      <c r="M241" s="22"/>
      <c r="N241" s="22"/>
      <c r="O241" s="22"/>
      <c r="P241" s="22"/>
      <c r="Q241" s="22"/>
      <c r="R241" s="22"/>
      <c r="S241" s="22"/>
      <c r="T241" s="22"/>
      <c r="U241" s="22"/>
      <c r="V241" s="22"/>
      <c r="W241" s="22"/>
      <c r="X241" s="22"/>
      <c r="Y241" s="22"/>
      <c r="Z241" s="22"/>
      <c r="AA241" s="22"/>
    </row>
    <row r="242" spans="12:27" x14ac:dyDescent="0.2">
      <c r="L242" s="22"/>
      <c r="M242" s="22"/>
      <c r="N242" s="22"/>
      <c r="O242" s="22"/>
      <c r="P242" s="22"/>
      <c r="Q242" s="22"/>
      <c r="R242" s="22"/>
      <c r="S242" s="22"/>
      <c r="T242" s="22"/>
      <c r="U242" s="22"/>
      <c r="V242" s="22"/>
      <c r="W242" s="22"/>
      <c r="X242" s="22"/>
      <c r="Y242" s="22"/>
      <c r="Z242" s="22"/>
      <c r="AA242" s="22"/>
    </row>
    <row r="243" spans="12:27" x14ac:dyDescent="0.2">
      <c r="L243" s="22"/>
      <c r="M243" s="22"/>
      <c r="N243" s="22"/>
      <c r="O243" s="22"/>
      <c r="P243" s="22"/>
      <c r="Q243" s="22"/>
      <c r="R243" s="22"/>
      <c r="S243" s="22"/>
      <c r="T243" s="22"/>
      <c r="U243" s="22"/>
      <c r="V243" s="22"/>
      <c r="W243" s="22"/>
      <c r="X243" s="22"/>
      <c r="Y243" s="22"/>
      <c r="Z243" s="22"/>
      <c r="AA243" s="22"/>
    </row>
    <row r="244" spans="12:27" x14ac:dyDescent="0.2">
      <c r="L244" s="22"/>
      <c r="M244" s="22"/>
      <c r="N244" s="22"/>
      <c r="O244" s="22"/>
      <c r="P244" s="22"/>
      <c r="Q244" s="22"/>
      <c r="R244" s="22"/>
      <c r="S244" s="22"/>
      <c r="T244" s="22"/>
      <c r="U244" s="22"/>
      <c r="V244" s="22"/>
      <c r="W244" s="22"/>
      <c r="X244" s="22"/>
      <c r="Y244" s="22"/>
      <c r="Z244" s="22"/>
      <c r="AA244" s="22"/>
    </row>
    <row r="245" spans="12:27" x14ac:dyDescent="0.2">
      <c r="L245" s="22"/>
      <c r="M245" s="22"/>
      <c r="N245" s="22"/>
      <c r="O245" s="22"/>
      <c r="P245" s="22"/>
      <c r="Q245" s="22"/>
      <c r="R245" s="22"/>
      <c r="S245" s="22"/>
      <c r="T245" s="22"/>
      <c r="U245" s="22"/>
      <c r="V245" s="22"/>
      <c r="W245" s="22"/>
      <c r="X245" s="22"/>
      <c r="Y245" s="22"/>
      <c r="Z245" s="22"/>
      <c r="AA245" s="22"/>
    </row>
    <row r="246" spans="12:27" x14ac:dyDescent="0.2">
      <c r="L246" s="22"/>
      <c r="M246" s="22"/>
      <c r="N246" s="22"/>
      <c r="O246" s="22"/>
      <c r="P246" s="22"/>
      <c r="Q246" s="22"/>
      <c r="R246" s="22"/>
      <c r="S246" s="22"/>
      <c r="T246" s="22"/>
      <c r="U246" s="22"/>
      <c r="V246" s="22"/>
      <c r="W246" s="22"/>
      <c r="X246" s="22"/>
      <c r="Y246" s="22"/>
      <c r="Z246" s="22"/>
      <c r="AA246" s="22"/>
    </row>
    <row r="247" spans="12:27" x14ac:dyDescent="0.2">
      <c r="L247" s="22"/>
      <c r="M247" s="22"/>
      <c r="N247" s="22"/>
      <c r="O247" s="22"/>
      <c r="P247" s="22"/>
      <c r="Q247" s="22"/>
      <c r="R247" s="22"/>
      <c r="S247" s="22"/>
      <c r="T247" s="22"/>
      <c r="U247" s="22"/>
      <c r="V247" s="22"/>
      <c r="W247" s="22"/>
      <c r="X247" s="22"/>
      <c r="Y247" s="22"/>
      <c r="Z247" s="22"/>
      <c r="AA247" s="22"/>
    </row>
    <row r="248" spans="12:27" x14ac:dyDescent="0.2">
      <c r="L248" s="22"/>
      <c r="M248" s="22"/>
      <c r="N248" s="22"/>
      <c r="O248" s="22"/>
      <c r="P248" s="22"/>
      <c r="Q248" s="22"/>
      <c r="R248" s="22"/>
      <c r="S248" s="22"/>
      <c r="T248" s="22"/>
      <c r="U248" s="22"/>
      <c r="V248" s="22"/>
      <c r="W248" s="22"/>
      <c r="X248" s="22"/>
      <c r="Y248" s="22"/>
      <c r="Z248" s="22"/>
      <c r="AA248" s="22"/>
    </row>
    <row r="249" spans="12:27" x14ac:dyDescent="0.2">
      <c r="L249" s="22"/>
      <c r="M249" s="22"/>
      <c r="N249" s="22"/>
      <c r="O249" s="22"/>
      <c r="P249" s="22"/>
      <c r="Q249" s="22"/>
      <c r="R249" s="22"/>
      <c r="S249" s="22"/>
      <c r="T249" s="22"/>
      <c r="U249" s="22"/>
      <c r="V249" s="22"/>
      <c r="W249" s="22"/>
      <c r="X249" s="22"/>
      <c r="Y249" s="22"/>
      <c r="Z249" s="22"/>
      <c r="AA249" s="22"/>
    </row>
    <row r="250" spans="12:27" x14ac:dyDescent="0.2">
      <c r="L250" s="22"/>
      <c r="M250" s="22"/>
      <c r="N250" s="22"/>
      <c r="O250" s="22"/>
      <c r="P250" s="22"/>
      <c r="Q250" s="22"/>
      <c r="R250" s="22"/>
      <c r="S250" s="22"/>
      <c r="T250" s="22"/>
      <c r="U250" s="22"/>
      <c r="V250" s="22"/>
      <c r="W250" s="22"/>
      <c r="X250" s="22"/>
      <c r="Y250" s="22"/>
      <c r="Z250" s="22"/>
      <c r="AA250" s="22"/>
    </row>
    <row r="251" spans="12:27" x14ac:dyDescent="0.2">
      <c r="L251" s="22"/>
      <c r="M251" s="22"/>
      <c r="N251" s="22"/>
      <c r="O251" s="22"/>
      <c r="P251" s="22"/>
      <c r="Q251" s="22"/>
      <c r="R251" s="22"/>
      <c r="S251" s="22"/>
      <c r="T251" s="22"/>
      <c r="U251" s="22"/>
      <c r="V251" s="22"/>
      <c r="W251" s="22"/>
      <c r="X251" s="22"/>
      <c r="Y251" s="22"/>
      <c r="Z251" s="22"/>
      <c r="AA251" s="22"/>
    </row>
    <row r="252" spans="12:27" x14ac:dyDescent="0.2">
      <c r="L252" s="22"/>
      <c r="M252" s="22"/>
      <c r="N252" s="22"/>
      <c r="O252" s="22"/>
      <c r="P252" s="22"/>
      <c r="Q252" s="22"/>
      <c r="R252" s="22"/>
      <c r="S252" s="22"/>
      <c r="T252" s="22"/>
      <c r="U252" s="22"/>
      <c r="V252" s="22"/>
      <c r="W252" s="22"/>
      <c r="X252" s="22"/>
      <c r="Y252" s="22"/>
      <c r="Z252" s="22"/>
      <c r="AA252" s="22"/>
    </row>
    <row r="253" spans="12:27" x14ac:dyDescent="0.2">
      <c r="L253" s="22"/>
      <c r="M253" s="22"/>
      <c r="N253" s="22"/>
      <c r="O253" s="22"/>
      <c r="P253" s="22"/>
      <c r="Q253" s="22"/>
      <c r="R253" s="22"/>
      <c r="S253" s="22"/>
      <c r="T253" s="22"/>
      <c r="U253" s="22"/>
      <c r="V253" s="22"/>
      <c r="W253" s="22"/>
      <c r="X253" s="22"/>
      <c r="Y253" s="22"/>
      <c r="Z253" s="22"/>
      <c r="AA253" s="22"/>
    </row>
    <row r="254" spans="12:27" x14ac:dyDescent="0.2">
      <c r="L254" s="22"/>
      <c r="M254" s="22"/>
      <c r="N254" s="22"/>
      <c r="O254" s="22"/>
      <c r="P254" s="22"/>
      <c r="Q254" s="22"/>
      <c r="R254" s="22"/>
      <c r="S254" s="22"/>
      <c r="T254" s="22"/>
      <c r="U254" s="22"/>
      <c r="V254" s="22"/>
      <c r="W254" s="22"/>
      <c r="X254" s="22"/>
      <c r="Y254" s="22"/>
      <c r="Z254" s="22"/>
      <c r="AA254" s="22"/>
    </row>
    <row r="255" spans="12:27" x14ac:dyDescent="0.2">
      <c r="L255" s="22"/>
      <c r="M255" s="22"/>
      <c r="N255" s="22"/>
      <c r="O255" s="22"/>
      <c r="P255" s="22"/>
      <c r="Q255" s="22"/>
      <c r="R255" s="22"/>
      <c r="S255" s="22"/>
      <c r="T255" s="22"/>
      <c r="U255" s="22"/>
      <c r="V255" s="22"/>
      <c r="W255" s="22"/>
      <c r="X255" s="22"/>
      <c r="Y255" s="22"/>
      <c r="Z255" s="22"/>
      <c r="AA255" s="22"/>
    </row>
    <row r="256" spans="12:27" x14ac:dyDescent="0.2">
      <c r="L256" s="22"/>
      <c r="M256" s="22"/>
      <c r="N256" s="22"/>
      <c r="O256" s="22"/>
      <c r="P256" s="22"/>
      <c r="Q256" s="22"/>
      <c r="R256" s="22"/>
      <c r="S256" s="22"/>
      <c r="T256" s="22"/>
      <c r="U256" s="22"/>
      <c r="V256" s="22"/>
      <c r="W256" s="22"/>
      <c r="X256" s="22"/>
      <c r="Y256" s="22"/>
      <c r="Z256" s="22"/>
      <c r="AA256" s="22"/>
    </row>
    <row r="257" spans="12:27" x14ac:dyDescent="0.2">
      <c r="L257" s="22"/>
      <c r="M257" s="22"/>
      <c r="N257" s="22"/>
      <c r="O257" s="22"/>
      <c r="P257" s="22"/>
      <c r="Q257" s="22"/>
      <c r="R257" s="22"/>
      <c r="S257" s="22"/>
      <c r="T257" s="22"/>
      <c r="U257" s="22"/>
      <c r="V257" s="22"/>
      <c r="W257" s="22"/>
      <c r="X257" s="22"/>
      <c r="Y257" s="22"/>
      <c r="Z257" s="22"/>
      <c r="AA257" s="22"/>
    </row>
    <row r="258" spans="12:27" x14ac:dyDescent="0.2">
      <c r="L258" s="22"/>
      <c r="M258" s="22"/>
      <c r="N258" s="22"/>
      <c r="O258" s="22"/>
      <c r="P258" s="22"/>
      <c r="Q258" s="22"/>
      <c r="R258" s="22"/>
      <c r="S258" s="22"/>
      <c r="T258" s="22"/>
      <c r="U258" s="22"/>
      <c r="V258" s="22"/>
      <c r="W258" s="22"/>
      <c r="X258" s="22"/>
      <c r="Y258" s="22"/>
      <c r="Z258" s="22"/>
      <c r="AA258" s="22"/>
    </row>
    <row r="259" spans="12:27" x14ac:dyDescent="0.2">
      <c r="L259" s="22"/>
      <c r="M259" s="22"/>
      <c r="N259" s="22"/>
      <c r="O259" s="22"/>
      <c r="P259" s="22"/>
      <c r="Q259" s="22"/>
      <c r="R259" s="22"/>
      <c r="S259" s="22"/>
      <c r="T259" s="22"/>
      <c r="U259" s="22"/>
      <c r="V259" s="22"/>
      <c r="W259" s="22"/>
      <c r="X259" s="22"/>
      <c r="Y259" s="22"/>
      <c r="Z259" s="22"/>
      <c r="AA259" s="22"/>
    </row>
    <row r="260" spans="12:27" x14ac:dyDescent="0.2">
      <c r="L260" s="22"/>
      <c r="M260" s="22"/>
      <c r="N260" s="22"/>
      <c r="O260" s="22"/>
      <c r="P260" s="22"/>
      <c r="Q260" s="22"/>
      <c r="R260" s="22"/>
      <c r="S260" s="22"/>
      <c r="T260" s="22"/>
      <c r="U260" s="22"/>
      <c r="V260" s="22"/>
      <c r="W260" s="22"/>
      <c r="X260" s="22"/>
      <c r="Y260" s="22"/>
      <c r="Z260" s="22"/>
      <c r="AA260" s="22"/>
    </row>
    <row r="261" spans="12:27" x14ac:dyDescent="0.2">
      <c r="L261" s="22"/>
      <c r="M261" s="22"/>
      <c r="N261" s="22"/>
      <c r="O261" s="22"/>
      <c r="P261" s="22"/>
      <c r="Q261" s="22"/>
      <c r="R261" s="22"/>
      <c r="S261" s="22"/>
      <c r="T261" s="22"/>
      <c r="U261" s="22"/>
      <c r="V261" s="22"/>
      <c r="W261" s="22"/>
      <c r="X261" s="22"/>
      <c r="Y261" s="22"/>
      <c r="Z261" s="22"/>
      <c r="AA261" s="22"/>
    </row>
    <row r="262" spans="12:27" x14ac:dyDescent="0.2">
      <c r="L262" s="22"/>
      <c r="M262" s="22"/>
      <c r="N262" s="22"/>
      <c r="O262" s="22"/>
      <c r="P262" s="22"/>
      <c r="Q262" s="22"/>
      <c r="R262" s="22"/>
      <c r="S262" s="22"/>
      <c r="T262" s="22"/>
      <c r="U262" s="22"/>
      <c r="V262" s="22"/>
      <c r="W262" s="22"/>
      <c r="X262" s="22"/>
      <c r="Y262" s="22"/>
      <c r="Z262" s="22"/>
      <c r="AA262" s="22"/>
    </row>
    <row r="263" spans="12:27" x14ac:dyDescent="0.2">
      <c r="L263" s="22"/>
      <c r="M263" s="22"/>
      <c r="N263" s="22"/>
      <c r="O263" s="22"/>
      <c r="P263" s="22"/>
      <c r="Q263" s="22"/>
      <c r="R263" s="22"/>
      <c r="S263" s="22"/>
      <c r="T263" s="22"/>
      <c r="U263" s="22"/>
      <c r="V263" s="22"/>
      <c r="W263" s="22"/>
      <c r="X263" s="22"/>
      <c r="Y263" s="22"/>
      <c r="Z263" s="22"/>
      <c r="AA263" s="22"/>
    </row>
    <row r="264" spans="12:27" x14ac:dyDescent="0.2">
      <c r="L264" s="22"/>
      <c r="M264" s="22"/>
      <c r="N264" s="22"/>
      <c r="O264" s="22"/>
      <c r="P264" s="22"/>
      <c r="Q264" s="22"/>
      <c r="R264" s="22"/>
      <c r="S264" s="22"/>
      <c r="T264" s="22"/>
      <c r="U264" s="22"/>
      <c r="V264" s="22"/>
      <c r="W264" s="22"/>
      <c r="X264" s="22"/>
      <c r="Y264" s="22"/>
      <c r="Z264" s="22"/>
      <c r="AA264" s="22"/>
    </row>
    <row r="265" spans="12:27" x14ac:dyDescent="0.2">
      <c r="L265" s="22"/>
      <c r="M265" s="22"/>
      <c r="N265" s="22"/>
      <c r="O265" s="22"/>
      <c r="P265" s="22"/>
      <c r="Q265" s="22"/>
      <c r="R265" s="22"/>
      <c r="S265" s="22"/>
      <c r="T265" s="22"/>
      <c r="U265" s="22"/>
      <c r="V265" s="22"/>
      <c r="W265" s="22"/>
      <c r="X265" s="22"/>
      <c r="Y265" s="22"/>
      <c r="Z265" s="22"/>
      <c r="AA265" s="22"/>
    </row>
    <row r="266" spans="12:27" x14ac:dyDescent="0.2">
      <c r="L266" s="22"/>
      <c r="M266" s="22"/>
      <c r="N266" s="22"/>
      <c r="O266" s="22"/>
      <c r="P266" s="22"/>
      <c r="Q266" s="22"/>
      <c r="R266" s="22"/>
      <c r="S266" s="22"/>
      <c r="T266" s="22"/>
      <c r="U266" s="22"/>
      <c r="V266" s="22"/>
      <c r="W266" s="22"/>
      <c r="X266" s="22"/>
      <c r="Y266" s="22"/>
      <c r="Z266" s="22"/>
      <c r="AA266" s="22"/>
    </row>
    <row r="267" spans="12:27" x14ac:dyDescent="0.2">
      <c r="L267" s="22"/>
      <c r="M267" s="22"/>
      <c r="N267" s="22"/>
      <c r="O267" s="22"/>
      <c r="P267" s="22"/>
      <c r="Q267" s="22"/>
      <c r="R267" s="22"/>
      <c r="S267" s="22"/>
      <c r="T267" s="22"/>
      <c r="U267" s="22"/>
      <c r="V267" s="22"/>
      <c r="W267" s="22"/>
      <c r="X267" s="22"/>
      <c r="Y267" s="22"/>
      <c r="Z267" s="22"/>
      <c r="AA267" s="22"/>
    </row>
    <row r="268" spans="12:27" x14ac:dyDescent="0.2">
      <c r="L268" s="22"/>
      <c r="M268" s="22"/>
      <c r="N268" s="22"/>
      <c r="O268" s="22"/>
      <c r="P268" s="22"/>
      <c r="Q268" s="22"/>
      <c r="R268" s="22"/>
      <c r="S268" s="22"/>
      <c r="T268" s="22"/>
      <c r="U268" s="22"/>
      <c r="V268" s="22"/>
      <c r="W268" s="22"/>
      <c r="X268" s="22"/>
      <c r="Y268" s="22"/>
      <c r="Z268" s="22"/>
      <c r="AA268" s="22"/>
    </row>
    <row r="269" spans="12:27" x14ac:dyDescent="0.2">
      <c r="L269" s="22"/>
      <c r="M269" s="22"/>
      <c r="N269" s="22"/>
      <c r="O269" s="22"/>
      <c r="P269" s="22"/>
      <c r="Q269" s="22"/>
      <c r="R269" s="22"/>
      <c r="S269" s="22"/>
      <c r="T269" s="22"/>
      <c r="U269" s="22"/>
      <c r="V269" s="22"/>
      <c r="W269" s="22"/>
      <c r="X269" s="22"/>
      <c r="Y269" s="22"/>
      <c r="Z269" s="22"/>
      <c r="AA269" s="22"/>
    </row>
    <row r="270" spans="12:27" x14ac:dyDescent="0.2">
      <c r="L270" s="22"/>
      <c r="M270" s="22"/>
      <c r="N270" s="22"/>
      <c r="O270" s="22"/>
      <c r="P270" s="22"/>
      <c r="Q270" s="22"/>
      <c r="R270" s="22"/>
      <c r="S270" s="22"/>
      <c r="T270" s="22"/>
      <c r="U270" s="22"/>
      <c r="V270" s="22"/>
      <c r="W270" s="22"/>
      <c r="X270" s="22"/>
      <c r="Y270" s="22"/>
      <c r="Z270" s="22"/>
      <c r="AA270" s="22"/>
    </row>
    <row r="271" spans="12:27" x14ac:dyDescent="0.2">
      <c r="L271" s="22"/>
      <c r="M271" s="22"/>
      <c r="N271" s="22"/>
      <c r="O271" s="22"/>
      <c r="P271" s="22"/>
      <c r="Q271" s="22"/>
      <c r="R271" s="22"/>
      <c r="S271" s="22"/>
      <c r="T271" s="22"/>
      <c r="U271" s="22"/>
      <c r="V271" s="22"/>
      <c r="W271" s="22"/>
      <c r="X271" s="22"/>
      <c r="Y271" s="22"/>
      <c r="Z271" s="22"/>
      <c r="AA271" s="22"/>
    </row>
    <row r="272" spans="12:27" x14ac:dyDescent="0.2">
      <c r="L272" s="22"/>
      <c r="M272" s="22"/>
      <c r="N272" s="22"/>
      <c r="O272" s="22"/>
      <c r="P272" s="22"/>
      <c r="Q272" s="22"/>
      <c r="R272" s="22"/>
      <c r="S272" s="22"/>
      <c r="T272" s="22"/>
      <c r="U272" s="22"/>
      <c r="V272" s="22"/>
      <c r="W272" s="22"/>
      <c r="X272" s="22"/>
      <c r="Y272" s="22"/>
      <c r="Z272" s="22"/>
      <c r="AA272" s="22"/>
    </row>
    <row r="273" spans="12:27" x14ac:dyDescent="0.2">
      <c r="L273" s="22"/>
      <c r="M273" s="22"/>
      <c r="N273" s="22"/>
      <c r="O273" s="22"/>
      <c r="P273" s="22"/>
      <c r="Q273" s="22"/>
      <c r="R273" s="22"/>
      <c r="S273" s="22"/>
      <c r="T273" s="22"/>
      <c r="U273" s="22"/>
      <c r="V273" s="22"/>
      <c r="W273" s="22"/>
      <c r="X273" s="22"/>
      <c r="Y273" s="22"/>
      <c r="Z273" s="22"/>
      <c r="AA273" s="22"/>
    </row>
    <row r="274" spans="12:27" x14ac:dyDescent="0.2">
      <c r="L274" s="22"/>
      <c r="M274" s="22"/>
      <c r="N274" s="22"/>
      <c r="O274" s="22"/>
      <c r="P274" s="22"/>
      <c r="Q274" s="22"/>
      <c r="R274" s="22"/>
      <c r="S274" s="22"/>
      <c r="T274" s="22"/>
      <c r="U274" s="22"/>
      <c r="V274" s="22"/>
      <c r="W274" s="22"/>
      <c r="X274" s="22"/>
      <c r="Y274" s="22"/>
      <c r="Z274" s="22"/>
      <c r="AA274" s="22"/>
    </row>
    <row r="275" spans="12:27" x14ac:dyDescent="0.2">
      <c r="L275" s="22"/>
      <c r="M275" s="22"/>
      <c r="N275" s="22"/>
      <c r="O275" s="22"/>
      <c r="P275" s="22"/>
      <c r="Q275" s="22"/>
      <c r="R275" s="22"/>
      <c r="S275" s="22"/>
      <c r="T275" s="22"/>
      <c r="U275" s="22"/>
      <c r="V275" s="22"/>
      <c r="W275" s="22"/>
      <c r="X275" s="22"/>
      <c r="Y275" s="22"/>
      <c r="Z275" s="22"/>
      <c r="AA275" s="22"/>
    </row>
    <row r="276" spans="12:27" x14ac:dyDescent="0.2">
      <c r="L276" s="22"/>
      <c r="M276" s="22"/>
      <c r="N276" s="22"/>
      <c r="O276" s="22"/>
      <c r="P276" s="22"/>
      <c r="Q276" s="22"/>
      <c r="R276" s="22"/>
      <c r="S276" s="22"/>
      <c r="T276" s="22"/>
      <c r="U276" s="22"/>
      <c r="V276" s="22"/>
      <c r="W276" s="22"/>
      <c r="X276" s="22"/>
      <c r="Y276" s="22"/>
      <c r="Z276" s="22"/>
      <c r="AA276" s="22"/>
    </row>
    <row r="277" spans="12:27" x14ac:dyDescent="0.2">
      <c r="L277" s="22"/>
      <c r="M277" s="22"/>
      <c r="N277" s="22"/>
      <c r="O277" s="22"/>
      <c r="P277" s="22"/>
      <c r="Q277" s="22"/>
      <c r="R277" s="22"/>
      <c r="S277" s="22"/>
      <c r="T277" s="22"/>
      <c r="U277" s="22"/>
      <c r="V277" s="22"/>
      <c r="W277" s="22"/>
      <c r="X277" s="22"/>
      <c r="Y277" s="22"/>
      <c r="Z277" s="22"/>
      <c r="AA277" s="22"/>
    </row>
    <row r="278" spans="12:27" x14ac:dyDescent="0.2">
      <c r="L278" s="22"/>
      <c r="M278" s="22"/>
      <c r="N278" s="22"/>
      <c r="O278" s="22"/>
      <c r="P278" s="22"/>
      <c r="Q278" s="22"/>
      <c r="R278" s="22"/>
      <c r="S278" s="22"/>
      <c r="T278" s="22"/>
      <c r="U278" s="22"/>
      <c r="V278" s="22"/>
      <c r="W278" s="22"/>
      <c r="X278" s="22"/>
      <c r="Y278" s="22"/>
      <c r="Z278" s="22"/>
      <c r="AA278" s="22"/>
    </row>
    <row r="279" spans="12:27" x14ac:dyDescent="0.2">
      <c r="L279" s="22"/>
      <c r="M279" s="22"/>
      <c r="N279" s="22"/>
      <c r="O279" s="22"/>
      <c r="P279" s="22"/>
      <c r="Q279" s="22"/>
      <c r="R279" s="22"/>
      <c r="S279" s="22"/>
      <c r="T279" s="22"/>
      <c r="U279" s="22"/>
      <c r="V279" s="22"/>
      <c r="W279" s="22"/>
      <c r="X279" s="22"/>
      <c r="Y279" s="22"/>
      <c r="Z279" s="22"/>
      <c r="AA279" s="22"/>
    </row>
    <row r="280" spans="12:27" x14ac:dyDescent="0.2">
      <c r="L280" s="22"/>
      <c r="M280" s="22"/>
      <c r="N280" s="22"/>
      <c r="O280" s="22"/>
      <c r="P280" s="22"/>
      <c r="Q280" s="22"/>
      <c r="R280" s="22"/>
      <c r="S280" s="22"/>
      <c r="T280" s="22"/>
      <c r="U280" s="22"/>
      <c r="V280" s="22"/>
      <c r="W280" s="22"/>
      <c r="X280" s="22"/>
      <c r="Y280" s="22"/>
      <c r="Z280" s="22"/>
      <c r="AA280" s="22"/>
    </row>
    <row r="281" spans="12:27" x14ac:dyDescent="0.2">
      <c r="L281" s="22"/>
      <c r="M281" s="22"/>
      <c r="N281" s="22"/>
      <c r="O281" s="22"/>
      <c r="P281" s="22"/>
      <c r="Q281" s="22"/>
      <c r="R281" s="22"/>
      <c r="S281" s="22"/>
      <c r="T281" s="22"/>
      <c r="U281" s="22"/>
      <c r="V281" s="22"/>
      <c r="W281" s="22"/>
      <c r="X281" s="22"/>
      <c r="Y281" s="22"/>
      <c r="Z281" s="22"/>
      <c r="AA281" s="22"/>
    </row>
    <row r="282" spans="12:27" x14ac:dyDescent="0.2">
      <c r="L282" s="22"/>
      <c r="M282" s="22"/>
      <c r="N282" s="22"/>
      <c r="O282" s="22"/>
      <c r="P282" s="22"/>
      <c r="Q282" s="22"/>
      <c r="R282" s="22"/>
      <c r="S282" s="22"/>
      <c r="T282" s="22"/>
      <c r="U282" s="22"/>
      <c r="V282" s="22"/>
      <c r="W282" s="22"/>
      <c r="X282" s="22"/>
      <c r="Y282" s="22"/>
      <c r="Z282" s="22"/>
      <c r="AA282" s="22"/>
    </row>
    <row r="283" spans="12:27" x14ac:dyDescent="0.2">
      <c r="L283" s="22"/>
      <c r="M283" s="22"/>
      <c r="N283" s="22"/>
      <c r="O283" s="22"/>
      <c r="P283" s="22"/>
      <c r="Q283" s="22"/>
      <c r="R283" s="22"/>
      <c r="S283" s="22"/>
      <c r="T283" s="22"/>
      <c r="U283" s="22"/>
      <c r="V283" s="22"/>
      <c r="W283" s="22"/>
      <c r="X283" s="22"/>
      <c r="Y283" s="22"/>
      <c r="Z283" s="22"/>
      <c r="AA283" s="22"/>
    </row>
    <row r="284" spans="12:27" x14ac:dyDescent="0.2">
      <c r="L284" s="22"/>
      <c r="M284" s="22"/>
      <c r="N284" s="22"/>
      <c r="O284" s="22"/>
      <c r="P284" s="22"/>
      <c r="Q284" s="22"/>
      <c r="R284" s="22"/>
      <c r="S284" s="22"/>
      <c r="T284" s="22"/>
      <c r="U284" s="22"/>
      <c r="V284" s="22"/>
      <c r="W284" s="22"/>
      <c r="X284" s="22"/>
      <c r="Y284" s="22"/>
      <c r="Z284" s="22"/>
      <c r="AA284" s="22"/>
    </row>
    <row r="285" spans="12:27" x14ac:dyDescent="0.2">
      <c r="L285" s="22"/>
      <c r="M285" s="22"/>
      <c r="N285" s="22"/>
      <c r="O285" s="22"/>
      <c r="P285" s="22"/>
      <c r="Q285" s="22"/>
      <c r="R285" s="22"/>
      <c r="S285" s="22"/>
      <c r="T285" s="22"/>
      <c r="U285" s="22"/>
      <c r="V285" s="22"/>
      <c r="W285" s="22"/>
      <c r="X285" s="22"/>
      <c r="Y285" s="22"/>
      <c r="Z285" s="22"/>
      <c r="AA285" s="22"/>
    </row>
    <row r="286" spans="12:27" x14ac:dyDescent="0.2">
      <c r="L286" s="22"/>
      <c r="M286" s="22"/>
      <c r="N286" s="22"/>
      <c r="O286" s="22"/>
      <c r="P286" s="22"/>
      <c r="Q286" s="22"/>
      <c r="R286" s="22"/>
      <c r="S286" s="22"/>
      <c r="T286" s="22"/>
      <c r="U286" s="22"/>
      <c r="V286" s="22"/>
      <c r="W286" s="22"/>
      <c r="X286" s="22"/>
      <c r="Y286" s="22"/>
      <c r="Z286" s="22"/>
      <c r="AA286" s="22"/>
    </row>
    <row r="287" spans="12:27" x14ac:dyDescent="0.2">
      <c r="L287" s="22"/>
      <c r="M287" s="22"/>
      <c r="N287" s="22"/>
      <c r="O287" s="22"/>
      <c r="P287" s="22"/>
      <c r="Q287" s="22"/>
      <c r="R287" s="22"/>
      <c r="S287" s="22"/>
      <c r="T287" s="22"/>
      <c r="U287" s="22"/>
      <c r="V287" s="22"/>
      <c r="W287" s="22"/>
      <c r="X287" s="22"/>
      <c r="Y287" s="22"/>
      <c r="Z287" s="22"/>
      <c r="AA287" s="22"/>
    </row>
    <row r="288" spans="12:27" x14ac:dyDescent="0.2">
      <c r="L288" s="22"/>
      <c r="M288" s="22"/>
      <c r="N288" s="22"/>
      <c r="O288" s="22"/>
      <c r="P288" s="22"/>
      <c r="Q288" s="22"/>
      <c r="R288" s="22"/>
      <c r="S288" s="22"/>
      <c r="T288" s="22"/>
      <c r="U288" s="22"/>
      <c r="V288" s="22"/>
      <c r="W288" s="22"/>
      <c r="X288" s="22"/>
      <c r="Y288" s="22"/>
      <c r="Z288" s="22"/>
      <c r="AA288" s="22"/>
    </row>
    <row r="289" spans="12:27" x14ac:dyDescent="0.2">
      <c r="L289" s="22"/>
      <c r="M289" s="22"/>
      <c r="N289" s="22"/>
      <c r="O289" s="22"/>
      <c r="P289" s="22"/>
      <c r="Q289" s="22"/>
      <c r="R289" s="22"/>
      <c r="S289" s="22"/>
      <c r="T289" s="22"/>
      <c r="U289" s="22"/>
      <c r="V289" s="22"/>
      <c r="W289" s="22"/>
      <c r="X289" s="22"/>
      <c r="Y289" s="22"/>
      <c r="Z289" s="22"/>
      <c r="AA289" s="22"/>
    </row>
    <row r="290" spans="12:27" x14ac:dyDescent="0.2">
      <c r="L290" s="22"/>
      <c r="M290" s="22"/>
      <c r="N290" s="22"/>
      <c r="O290" s="22"/>
      <c r="P290" s="22"/>
      <c r="Q290" s="22"/>
      <c r="R290" s="22"/>
      <c r="S290" s="22"/>
      <c r="T290" s="22"/>
      <c r="U290" s="22"/>
      <c r="V290" s="22"/>
      <c r="W290" s="22"/>
      <c r="X290" s="22"/>
      <c r="Y290" s="22"/>
      <c r="Z290" s="22"/>
      <c r="AA290" s="22"/>
    </row>
    <row r="291" spans="12:27" x14ac:dyDescent="0.2">
      <c r="L291" s="22"/>
      <c r="M291" s="22"/>
      <c r="N291" s="22"/>
      <c r="O291" s="22"/>
      <c r="P291" s="22"/>
      <c r="Q291" s="22"/>
      <c r="R291" s="22"/>
      <c r="S291" s="22"/>
      <c r="T291" s="22"/>
      <c r="U291" s="22"/>
      <c r="V291" s="22"/>
      <c r="W291" s="22"/>
      <c r="X291" s="22"/>
      <c r="Y291" s="22"/>
      <c r="Z291" s="22"/>
      <c r="AA291" s="22"/>
    </row>
    <row r="292" spans="12:27" x14ac:dyDescent="0.2">
      <c r="L292" s="22"/>
      <c r="M292" s="22"/>
      <c r="N292" s="22"/>
      <c r="O292" s="22"/>
      <c r="P292" s="22"/>
      <c r="Q292" s="22"/>
      <c r="R292" s="22"/>
      <c r="S292" s="22"/>
      <c r="T292" s="22"/>
      <c r="U292" s="22"/>
      <c r="V292" s="22"/>
      <c r="W292" s="22"/>
      <c r="X292" s="22"/>
      <c r="Y292" s="22"/>
      <c r="Z292" s="22"/>
      <c r="AA292" s="22"/>
    </row>
    <row r="293" spans="12:27" x14ac:dyDescent="0.2">
      <c r="L293" s="22"/>
      <c r="M293" s="22"/>
      <c r="N293" s="22"/>
      <c r="O293" s="22"/>
      <c r="P293" s="22"/>
      <c r="Q293" s="22"/>
      <c r="R293" s="22"/>
      <c r="S293" s="22"/>
      <c r="T293" s="22"/>
      <c r="U293" s="22"/>
      <c r="V293" s="22"/>
      <c r="W293" s="22"/>
      <c r="X293" s="22"/>
      <c r="Y293" s="22"/>
      <c r="Z293" s="22"/>
      <c r="AA293" s="22"/>
    </row>
    <row r="294" spans="12:27" x14ac:dyDescent="0.2">
      <c r="L294" s="22"/>
      <c r="M294" s="22"/>
      <c r="N294" s="22"/>
      <c r="O294" s="22"/>
      <c r="P294" s="22"/>
      <c r="Q294" s="22"/>
      <c r="R294" s="22"/>
      <c r="S294" s="22"/>
      <c r="T294" s="22"/>
      <c r="U294" s="22"/>
      <c r="V294" s="22"/>
      <c r="W294" s="22"/>
      <c r="X294" s="22"/>
      <c r="Y294" s="22"/>
      <c r="Z294" s="22"/>
      <c r="AA294" s="22"/>
    </row>
    <row r="295" spans="12:27" x14ac:dyDescent="0.2">
      <c r="L295" s="22"/>
      <c r="M295" s="22"/>
      <c r="N295" s="22"/>
      <c r="O295" s="22"/>
      <c r="P295" s="22"/>
      <c r="Q295" s="22"/>
      <c r="R295" s="22"/>
      <c r="S295" s="22"/>
      <c r="T295" s="22"/>
      <c r="U295" s="22"/>
      <c r="V295" s="22"/>
      <c r="W295" s="22"/>
      <c r="X295" s="22"/>
      <c r="Y295" s="22"/>
      <c r="Z295" s="22"/>
      <c r="AA295" s="22"/>
    </row>
    <row r="296" spans="12:27" x14ac:dyDescent="0.2">
      <c r="L296" s="22"/>
      <c r="M296" s="22"/>
      <c r="N296" s="22"/>
      <c r="O296" s="22"/>
      <c r="P296" s="22"/>
      <c r="Q296" s="22"/>
      <c r="R296" s="22"/>
      <c r="S296" s="22"/>
      <c r="T296" s="22"/>
      <c r="U296" s="22"/>
      <c r="V296" s="22"/>
      <c r="W296" s="22"/>
      <c r="X296" s="22"/>
      <c r="Y296" s="22"/>
      <c r="Z296" s="22"/>
      <c r="AA296" s="22"/>
    </row>
    <row r="297" spans="12:27" x14ac:dyDescent="0.2">
      <c r="L297" s="22"/>
      <c r="M297" s="22"/>
      <c r="N297" s="22"/>
      <c r="O297" s="22"/>
      <c r="P297" s="22"/>
      <c r="Q297" s="22"/>
      <c r="R297" s="22"/>
      <c r="S297" s="22"/>
      <c r="T297" s="22"/>
      <c r="U297" s="22"/>
      <c r="V297" s="22"/>
      <c r="W297" s="22"/>
      <c r="X297" s="22"/>
      <c r="Y297" s="22"/>
      <c r="Z297" s="22"/>
      <c r="AA297" s="22"/>
    </row>
    <row r="298" spans="12:27" x14ac:dyDescent="0.2">
      <c r="L298" s="22"/>
      <c r="M298" s="22"/>
      <c r="N298" s="22"/>
      <c r="O298" s="22"/>
      <c r="P298" s="22"/>
      <c r="Q298" s="22"/>
      <c r="R298" s="22"/>
      <c r="S298" s="22"/>
      <c r="T298" s="22"/>
      <c r="U298" s="22"/>
      <c r="V298" s="22"/>
      <c r="W298" s="22"/>
      <c r="X298" s="22"/>
      <c r="Y298" s="22"/>
      <c r="Z298" s="22"/>
      <c r="AA298" s="22"/>
    </row>
    <row r="299" spans="12:27" x14ac:dyDescent="0.2">
      <c r="L299" s="22"/>
      <c r="M299" s="22"/>
      <c r="N299" s="22"/>
      <c r="O299" s="22"/>
      <c r="P299" s="22"/>
      <c r="Q299" s="22"/>
      <c r="R299" s="22"/>
      <c r="S299" s="22"/>
      <c r="T299" s="22"/>
      <c r="U299" s="22"/>
      <c r="V299" s="22"/>
      <c r="W299" s="22"/>
      <c r="X299" s="22"/>
      <c r="Y299" s="22"/>
      <c r="Z299" s="22"/>
      <c r="AA299" s="22"/>
    </row>
    <row r="300" spans="12:27" x14ac:dyDescent="0.2">
      <c r="L300" s="22"/>
      <c r="M300" s="22"/>
      <c r="N300" s="22"/>
      <c r="O300" s="22"/>
      <c r="P300" s="22"/>
      <c r="Q300" s="22"/>
      <c r="R300" s="22"/>
      <c r="S300" s="22"/>
      <c r="T300" s="22"/>
      <c r="U300" s="22"/>
      <c r="V300" s="22"/>
      <c r="W300" s="22"/>
      <c r="X300" s="22"/>
      <c r="Y300" s="22"/>
      <c r="Z300" s="22"/>
      <c r="AA300" s="22"/>
    </row>
    <row r="301" spans="12:27" x14ac:dyDescent="0.2">
      <c r="L301" s="22"/>
      <c r="M301" s="22"/>
      <c r="N301" s="22"/>
      <c r="O301" s="22"/>
      <c r="P301" s="22"/>
      <c r="Q301" s="22"/>
      <c r="R301" s="22"/>
      <c r="S301" s="22"/>
      <c r="T301" s="22"/>
      <c r="U301" s="22"/>
      <c r="V301" s="22"/>
      <c r="W301" s="22"/>
      <c r="X301" s="22"/>
      <c r="Y301" s="22"/>
      <c r="Z301" s="22"/>
      <c r="AA301" s="22"/>
    </row>
    <row r="302" spans="12:27" x14ac:dyDescent="0.2">
      <c r="L302" s="22"/>
      <c r="M302" s="22"/>
      <c r="N302" s="22"/>
      <c r="O302" s="22"/>
      <c r="P302" s="22"/>
      <c r="Q302" s="22"/>
      <c r="R302" s="22"/>
      <c r="S302" s="22"/>
      <c r="T302" s="22"/>
      <c r="U302" s="22"/>
      <c r="V302" s="22"/>
      <c r="W302" s="22"/>
      <c r="X302" s="22"/>
      <c r="Y302" s="22"/>
      <c r="Z302" s="22"/>
      <c r="AA302" s="22"/>
    </row>
    <row r="303" spans="12:27" x14ac:dyDescent="0.2">
      <c r="L303" s="22"/>
      <c r="M303" s="22"/>
      <c r="N303" s="22"/>
      <c r="O303" s="22"/>
      <c r="P303" s="22"/>
      <c r="Q303" s="22"/>
      <c r="R303" s="22"/>
      <c r="S303" s="22"/>
      <c r="T303" s="22"/>
      <c r="U303" s="22"/>
      <c r="V303" s="22"/>
      <c r="W303" s="22"/>
      <c r="X303" s="22"/>
      <c r="Y303" s="22"/>
      <c r="Z303" s="22"/>
      <c r="AA303" s="22"/>
    </row>
    <row r="304" spans="12:27" x14ac:dyDescent="0.2">
      <c r="L304" s="22"/>
      <c r="M304" s="22"/>
      <c r="N304" s="22"/>
      <c r="O304" s="22"/>
      <c r="P304" s="22"/>
      <c r="Q304" s="22"/>
      <c r="R304" s="22"/>
      <c r="S304" s="22"/>
      <c r="T304" s="22"/>
      <c r="U304" s="22"/>
      <c r="V304" s="22"/>
      <c r="W304" s="22"/>
      <c r="X304" s="22"/>
      <c r="Y304" s="22"/>
      <c r="Z304" s="22"/>
      <c r="AA304" s="22"/>
    </row>
    <row r="305" spans="12:27" x14ac:dyDescent="0.2">
      <c r="L305" s="22"/>
      <c r="M305" s="22"/>
      <c r="N305" s="22"/>
      <c r="O305" s="22"/>
      <c r="P305" s="22"/>
      <c r="Q305" s="22"/>
      <c r="R305" s="22"/>
      <c r="S305" s="22"/>
      <c r="T305" s="22"/>
      <c r="U305" s="22"/>
      <c r="V305" s="22"/>
      <c r="W305" s="22"/>
      <c r="X305" s="22"/>
      <c r="Y305" s="22"/>
      <c r="Z305" s="22"/>
      <c r="AA305" s="22"/>
    </row>
    <row r="306" spans="12:27" x14ac:dyDescent="0.2">
      <c r="L306" s="22"/>
      <c r="M306" s="22"/>
      <c r="N306" s="22"/>
      <c r="O306" s="22"/>
      <c r="P306" s="22"/>
      <c r="Q306" s="22"/>
      <c r="R306" s="22"/>
      <c r="S306" s="22"/>
      <c r="T306" s="22"/>
      <c r="U306" s="22"/>
      <c r="V306" s="22"/>
      <c r="W306" s="22"/>
      <c r="X306" s="22"/>
      <c r="Y306" s="22"/>
      <c r="Z306" s="22"/>
      <c r="AA306" s="22"/>
    </row>
    <row r="307" spans="12:27" x14ac:dyDescent="0.2">
      <c r="L307" s="22"/>
      <c r="M307" s="22"/>
      <c r="N307" s="22"/>
      <c r="O307" s="22"/>
      <c r="P307" s="22"/>
      <c r="Q307" s="22"/>
      <c r="R307" s="22"/>
      <c r="S307" s="22"/>
      <c r="T307" s="22"/>
      <c r="U307" s="22"/>
      <c r="V307" s="22"/>
      <c r="W307" s="22"/>
      <c r="X307" s="22"/>
      <c r="Y307" s="22"/>
      <c r="Z307" s="22"/>
      <c r="AA307" s="22"/>
    </row>
    <row r="308" spans="12:27" x14ac:dyDescent="0.2">
      <c r="L308" s="22"/>
      <c r="M308" s="22"/>
      <c r="N308" s="22"/>
      <c r="O308" s="22"/>
      <c r="P308" s="22"/>
      <c r="Q308" s="22"/>
      <c r="R308" s="22"/>
      <c r="S308" s="22"/>
      <c r="T308" s="22"/>
      <c r="U308" s="22"/>
      <c r="V308" s="22"/>
      <c r="W308" s="22"/>
      <c r="X308" s="22"/>
      <c r="Y308" s="22"/>
      <c r="Z308" s="22"/>
      <c r="AA308" s="22"/>
    </row>
    <row r="309" spans="12:27" x14ac:dyDescent="0.2">
      <c r="L309" s="22"/>
      <c r="M309" s="22"/>
      <c r="N309" s="22"/>
      <c r="O309" s="22"/>
      <c r="P309" s="22"/>
      <c r="Q309" s="22"/>
      <c r="R309" s="22"/>
      <c r="S309" s="22"/>
      <c r="T309" s="22"/>
      <c r="U309" s="22"/>
      <c r="V309" s="22"/>
      <c r="W309" s="22"/>
      <c r="X309" s="22"/>
      <c r="Y309" s="22"/>
      <c r="Z309" s="22"/>
      <c r="AA309" s="22"/>
    </row>
    <row r="310" spans="12:27" x14ac:dyDescent="0.2">
      <c r="L310" s="22"/>
      <c r="M310" s="22"/>
      <c r="N310" s="22"/>
      <c r="O310" s="22"/>
      <c r="P310" s="22"/>
      <c r="Q310" s="22"/>
      <c r="R310" s="22"/>
      <c r="S310" s="22"/>
      <c r="T310" s="22"/>
      <c r="U310" s="22"/>
      <c r="V310" s="22"/>
      <c r="W310" s="22"/>
      <c r="X310" s="22"/>
      <c r="Y310" s="22"/>
      <c r="Z310" s="22"/>
      <c r="AA310" s="22"/>
    </row>
    <row r="311" spans="12:27" x14ac:dyDescent="0.2">
      <c r="L311" s="22"/>
      <c r="M311" s="22"/>
      <c r="N311" s="22"/>
      <c r="O311" s="22"/>
      <c r="P311" s="22"/>
      <c r="Q311" s="22"/>
      <c r="R311" s="22"/>
      <c r="S311" s="22"/>
      <c r="T311" s="22"/>
      <c r="U311" s="22"/>
      <c r="V311" s="22"/>
      <c r="W311" s="22"/>
      <c r="X311" s="22"/>
      <c r="Y311" s="22"/>
      <c r="Z311" s="22"/>
      <c r="AA311" s="22"/>
    </row>
    <row r="312" spans="12:27" x14ac:dyDescent="0.2">
      <c r="L312" s="22"/>
      <c r="M312" s="22"/>
      <c r="N312" s="22"/>
      <c r="O312" s="22"/>
      <c r="P312" s="22"/>
      <c r="Q312" s="22"/>
      <c r="R312" s="22"/>
      <c r="S312" s="22"/>
      <c r="T312" s="22"/>
      <c r="U312" s="22"/>
      <c r="V312" s="22"/>
      <c r="W312" s="22"/>
      <c r="X312" s="22"/>
      <c r="Y312" s="22"/>
      <c r="Z312" s="22"/>
      <c r="AA312" s="22"/>
    </row>
    <row r="313" spans="12:27" x14ac:dyDescent="0.2">
      <c r="L313" s="22"/>
      <c r="M313" s="22"/>
      <c r="N313" s="22"/>
      <c r="O313" s="22"/>
      <c r="P313" s="22"/>
      <c r="Q313" s="22"/>
      <c r="R313" s="22"/>
      <c r="S313" s="22"/>
      <c r="T313" s="22"/>
      <c r="U313" s="22"/>
      <c r="V313" s="22"/>
      <c r="W313" s="22"/>
      <c r="X313" s="22"/>
      <c r="Y313" s="22"/>
      <c r="Z313" s="22"/>
      <c r="AA313" s="22"/>
    </row>
    <row r="314" spans="12:27" x14ac:dyDescent="0.2">
      <c r="L314" s="22"/>
      <c r="M314" s="22"/>
      <c r="N314" s="22"/>
      <c r="O314" s="22"/>
      <c r="P314" s="22"/>
      <c r="Q314" s="22"/>
      <c r="R314" s="22"/>
      <c r="S314" s="22"/>
      <c r="T314" s="22"/>
      <c r="U314" s="22"/>
      <c r="V314" s="22"/>
      <c r="W314" s="22"/>
      <c r="X314" s="22"/>
      <c r="Y314" s="22"/>
      <c r="Z314" s="22"/>
      <c r="AA314" s="22"/>
    </row>
    <row r="315" spans="12:27" x14ac:dyDescent="0.2">
      <c r="L315" s="22"/>
      <c r="M315" s="22"/>
      <c r="N315" s="22"/>
      <c r="O315" s="22"/>
      <c r="P315" s="22"/>
      <c r="Q315" s="22"/>
      <c r="R315" s="22"/>
      <c r="S315" s="22"/>
      <c r="T315" s="22"/>
      <c r="U315" s="22"/>
      <c r="V315" s="22"/>
      <c r="W315" s="22"/>
      <c r="X315" s="22"/>
      <c r="Y315" s="22"/>
      <c r="Z315" s="22"/>
      <c r="AA315" s="22"/>
    </row>
    <row r="316" spans="12:27" x14ac:dyDescent="0.2">
      <c r="L316" s="22"/>
      <c r="M316" s="22"/>
      <c r="N316" s="22"/>
      <c r="O316" s="22"/>
      <c r="P316" s="22"/>
      <c r="Q316" s="22"/>
      <c r="R316" s="22"/>
      <c r="S316" s="22"/>
      <c r="T316" s="22"/>
      <c r="U316" s="22"/>
      <c r="V316" s="22"/>
      <c r="W316" s="22"/>
      <c r="X316" s="22"/>
      <c r="Y316" s="22"/>
      <c r="Z316" s="22"/>
      <c r="AA316" s="22"/>
    </row>
    <row r="317" spans="12:27" x14ac:dyDescent="0.2">
      <c r="L317" s="22"/>
      <c r="M317" s="22"/>
      <c r="N317" s="22"/>
      <c r="O317" s="22"/>
      <c r="P317" s="22"/>
      <c r="Q317" s="22"/>
      <c r="R317" s="22"/>
      <c r="S317" s="22"/>
      <c r="T317" s="22"/>
      <c r="U317" s="22"/>
      <c r="V317" s="22"/>
      <c r="W317" s="22"/>
      <c r="X317" s="22"/>
      <c r="Y317" s="22"/>
      <c r="Z317" s="22"/>
      <c r="AA317" s="22"/>
    </row>
    <row r="318" spans="12:27" x14ac:dyDescent="0.2">
      <c r="L318" s="22"/>
      <c r="M318" s="22"/>
      <c r="N318" s="22"/>
      <c r="O318" s="22"/>
      <c r="P318" s="22"/>
      <c r="Q318" s="22"/>
      <c r="R318" s="22"/>
      <c r="S318" s="22"/>
      <c r="T318" s="22"/>
      <c r="U318" s="22"/>
      <c r="V318" s="22"/>
      <c r="W318" s="22"/>
      <c r="X318" s="22"/>
      <c r="Y318" s="22"/>
      <c r="Z318" s="22"/>
      <c r="AA318" s="22"/>
    </row>
    <row r="319" spans="12:27" x14ac:dyDescent="0.2">
      <c r="L319" s="22"/>
      <c r="M319" s="22"/>
      <c r="N319" s="22"/>
      <c r="O319" s="22"/>
      <c r="P319" s="22"/>
      <c r="Q319" s="22"/>
      <c r="R319" s="22"/>
      <c r="S319" s="22"/>
      <c r="T319" s="22"/>
      <c r="U319" s="22"/>
      <c r="V319" s="22"/>
      <c r="W319" s="22"/>
      <c r="X319" s="22"/>
      <c r="Y319" s="22"/>
      <c r="Z319" s="22"/>
      <c r="AA319" s="22"/>
    </row>
    <row r="320" spans="12:27" x14ac:dyDescent="0.2">
      <c r="L320" s="22"/>
      <c r="M320" s="22"/>
      <c r="N320" s="22"/>
      <c r="O320" s="22"/>
      <c r="P320" s="22"/>
      <c r="Q320" s="22"/>
      <c r="R320" s="22"/>
      <c r="S320" s="22"/>
      <c r="T320" s="22"/>
      <c r="U320" s="22"/>
      <c r="V320" s="22"/>
      <c r="W320" s="22"/>
      <c r="X320" s="22"/>
      <c r="Y320" s="22"/>
      <c r="Z320" s="22"/>
      <c r="AA320" s="22"/>
    </row>
    <row r="321" spans="12:27" x14ac:dyDescent="0.2">
      <c r="L321" s="22"/>
      <c r="M321" s="22"/>
      <c r="N321" s="22"/>
      <c r="O321" s="22"/>
      <c r="P321" s="22"/>
      <c r="Q321" s="22"/>
      <c r="R321" s="22"/>
      <c r="S321" s="22"/>
      <c r="T321" s="22"/>
      <c r="U321" s="22"/>
      <c r="V321" s="22"/>
      <c r="W321" s="22"/>
      <c r="X321" s="22"/>
      <c r="Y321" s="22"/>
      <c r="Z321" s="22"/>
      <c r="AA321" s="22"/>
    </row>
    <row r="322" spans="12:27" x14ac:dyDescent="0.2">
      <c r="L322" s="22"/>
      <c r="M322" s="22"/>
      <c r="N322" s="22"/>
      <c r="O322" s="22"/>
      <c r="P322" s="22"/>
      <c r="Q322" s="22"/>
      <c r="R322" s="22"/>
      <c r="S322" s="22"/>
      <c r="T322" s="22"/>
      <c r="U322" s="22"/>
      <c r="V322" s="22"/>
      <c r="W322" s="22"/>
      <c r="X322" s="22"/>
      <c r="Y322" s="22"/>
      <c r="Z322" s="22"/>
      <c r="AA322" s="22"/>
    </row>
    <row r="323" spans="12:27" x14ac:dyDescent="0.2">
      <c r="L323" s="22"/>
      <c r="M323" s="22"/>
      <c r="N323" s="22"/>
      <c r="O323" s="22"/>
      <c r="P323" s="22"/>
      <c r="Q323" s="22"/>
      <c r="R323" s="22"/>
      <c r="S323" s="22"/>
      <c r="T323" s="22"/>
      <c r="U323" s="22"/>
      <c r="V323" s="22"/>
      <c r="W323" s="22"/>
      <c r="X323" s="22"/>
      <c r="Y323" s="22"/>
      <c r="Z323" s="22"/>
      <c r="AA323" s="22"/>
    </row>
    <row r="324" spans="12:27" x14ac:dyDescent="0.2">
      <c r="L324" s="22"/>
      <c r="M324" s="22"/>
      <c r="N324" s="22"/>
      <c r="O324" s="22"/>
      <c r="P324" s="22"/>
      <c r="Q324" s="22"/>
      <c r="R324" s="22"/>
      <c r="S324" s="22"/>
      <c r="T324" s="22"/>
      <c r="U324" s="22"/>
      <c r="V324" s="22"/>
      <c r="W324" s="22"/>
      <c r="X324" s="22"/>
      <c r="Y324" s="22"/>
      <c r="Z324" s="22"/>
      <c r="AA324" s="22"/>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1137"/>
  <sheetViews>
    <sheetView workbookViewId="0">
      <selection activeCell="B2" sqref="B2"/>
    </sheetView>
  </sheetViews>
  <sheetFormatPr defaultColWidth="9.140625" defaultRowHeight="14.25" x14ac:dyDescent="0.2"/>
  <cols>
    <col min="1" max="1" width="9.140625" style="47"/>
    <col min="2" max="2" width="46" style="167" customWidth="1"/>
    <col min="3" max="3" width="9.140625" style="47"/>
    <col min="4" max="4" width="23.140625" style="62" customWidth="1"/>
    <col min="5" max="5" width="21.140625" style="62" customWidth="1"/>
    <col min="6" max="6" width="22.28515625" style="62" customWidth="1"/>
    <col min="7" max="7" width="22.42578125" style="48" hidden="1" customWidth="1"/>
    <col min="8" max="8" width="18" style="48" hidden="1" customWidth="1"/>
    <col min="9" max="9" width="3" style="47" hidden="1" customWidth="1"/>
    <col min="10" max="10" width="0" style="47" hidden="1" customWidth="1"/>
    <col min="11" max="11" width="15.42578125" style="47" hidden="1" customWidth="1"/>
    <col min="12" max="12" width="15.28515625" style="47" hidden="1" customWidth="1"/>
    <col min="13" max="13" width="19" style="47" hidden="1" customWidth="1"/>
    <col min="14" max="14" width="0" style="47" hidden="1" customWidth="1"/>
    <col min="15" max="15" width="9.140625" style="47" hidden="1" customWidth="1"/>
    <col min="16" max="16" width="0" style="47" hidden="1" customWidth="1"/>
    <col min="17" max="16384" width="9.140625" style="47"/>
  </cols>
  <sheetData>
    <row r="1" spans="1:16" ht="55.5" customHeight="1" x14ac:dyDescent="0.2">
      <c r="A1" s="112" t="s">
        <v>480</v>
      </c>
      <c r="B1" s="112" t="s">
        <v>299</v>
      </c>
      <c r="C1" s="112" t="s">
        <v>229</v>
      </c>
      <c r="D1" s="107" t="s">
        <v>514</v>
      </c>
      <c r="E1" s="107" t="s">
        <v>510</v>
      </c>
      <c r="F1" s="11" t="s">
        <v>300</v>
      </c>
    </row>
    <row r="2" spans="1:16" ht="39" customHeight="1" x14ac:dyDescent="0.2">
      <c r="A2" s="13" t="s">
        <v>56</v>
      </c>
      <c r="B2" s="113" t="s">
        <v>301</v>
      </c>
      <c r="C2" s="162" t="s">
        <v>70</v>
      </c>
      <c r="D2" s="18">
        <v>68453774</v>
      </c>
      <c r="E2" s="18">
        <v>113513481</v>
      </c>
      <c r="F2" s="18">
        <v>68453774</v>
      </c>
      <c r="H2" s="49"/>
      <c r="I2" s="50"/>
      <c r="M2" s="50"/>
      <c r="N2" s="50"/>
      <c r="P2" s="47" t="s">
        <v>70</v>
      </c>
    </row>
    <row r="3" spans="1:16" ht="39" customHeight="1" x14ac:dyDescent="0.2">
      <c r="A3" s="74">
        <v>1</v>
      </c>
      <c r="B3" s="115" t="s">
        <v>302</v>
      </c>
      <c r="C3" s="148" t="s">
        <v>78</v>
      </c>
      <c r="D3" s="19">
        <v>50000000</v>
      </c>
      <c r="E3" s="19">
        <v>95000000</v>
      </c>
      <c r="F3" s="19">
        <v>50000000</v>
      </c>
      <c r="G3" s="49"/>
      <c r="H3" s="49"/>
      <c r="I3" s="50"/>
      <c r="M3" s="50"/>
      <c r="N3" s="50"/>
      <c r="P3" s="47" t="s">
        <v>78</v>
      </c>
    </row>
    <row r="4" spans="1:16" ht="39" customHeight="1" x14ac:dyDescent="0.2">
      <c r="A4" s="74"/>
      <c r="B4" s="115" t="s">
        <v>481</v>
      </c>
      <c r="C4" s="148" t="s">
        <v>303</v>
      </c>
      <c r="D4" s="19">
        <v>50000000</v>
      </c>
      <c r="E4" s="19">
        <v>95000000</v>
      </c>
      <c r="F4" s="19">
        <v>50000000</v>
      </c>
      <c r="G4" s="49"/>
      <c r="H4" s="49"/>
      <c r="I4" s="50"/>
      <c r="M4" s="50"/>
      <c r="N4" s="50"/>
    </row>
    <row r="5" spans="1:16" ht="39" customHeight="1" x14ac:dyDescent="0.2">
      <c r="A5" s="74"/>
      <c r="B5" s="115" t="s">
        <v>482</v>
      </c>
      <c r="C5" s="148" t="s">
        <v>304</v>
      </c>
      <c r="D5" s="19">
        <v>0</v>
      </c>
      <c r="E5" s="19">
        <v>0</v>
      </c>
      <c r="F5" s="19">
        <v>0</v>
      </c>
      <c r="G5" s="49"/>
      <c r="H5" s="49"/>
      <c r="I5" s="50"/>
      <c r="M5" s="50"/>
      <c r="N5" s="50"/>
    </row>
    <row r="6" spans="1:16" ht="39" customHeight="1" x14ac:dyDescent="0.2">
      <c r="A6" s="74">
        <v>2</v>
      </c>
      <c r="B6" s="115" t="s">
        <v>305</v>
      </c>
      <c r="C6" s="148" t="s">
        <v>93</v>
      </c>
      <c r="D6" s="164">
        <v>18453774</v>
      </c>
      <c r="E6" s="19">
        <v>18513481</v>
      </c>
      <c r="F6" s="10">
        <v>18453774</v>
      </c>
      <c r="H6" s="49"/>
      <c r="I6" s="50"/>
      <c r="M6" s="50"/>
      <c r="N6" s="50"/>
      <c r="P6" s="47" t="s">
        <v>93</v>
      </c>
    </row>
    <row r="7" spans="1:16" ht="39" customHeight="1" x14ac:dyDescent="0.2">
      <c r="A7" s="74">
        <v>3</v>
      </c>
      <c r="B7" s="115" t="s">
        <v>306</v>
      </c>
      <c r="C7" s="148" t="s">
        <v>106</v>
      </c>
      <c r="D7" s="10">
        <v>0</v>
      </c>
      <c r="E7" s="10">
        <v>0</v>
      </c>
      <c r="F7" s="10">
        <v>0</v>
      </c>
      <c r="H7" s="49"/>
      <c r="I7" s="50"/>
      <c r="M7" s="50"/>
      <c r="N7" s="50"/>
      <c r="P7" s="47" t="s">
        <v>106</v>
      </c>
    </row>
    <row r="8" spans="1:16" ht="39" customHeight="1" x14ac:dyDescent="0.2">
      <c r="A8" s="13" t="s">
        <v>89</v>
      </c>
      <c r="B8" s="113" t="s">
        <v>307</v>
      </c>
      <c r="C8" s="113" t="s">
        <v>107</v>
      </c>
      <c r="D8" s="18">
        <v>103156997</v>
      </c>
      <c r="E8" s="18">
        <v>125267658</v>
      </c>
      <c r="F8" s="18">
        <v>103156997</v>
      </c>
      <c r="H8" s="49"/>
      <c r="I8" s="50"/>
      <c r="M8" s="50"/>
      <c r="N8" s="50"/>
      <c r="P8" s="47" t="s">
        <v>107</v>
      </c>
    </row>
    <row r="9" spans="1:16" ht="42.75" customHeight="1" x14ac:dyDescent="0.2">
      <c r="A9" s="74">
        <v>1</v>
      </c>
      <c r="B9" s="118" t="s">
        <v>308</v>
      </c>
      <c r="C9" s="148" t="s">
        <v>108</v>
      </c>
      <c r="D9" s="10">
        <v>42927100</v>
      </c>
      <c r="E9" s="10">
        <v>43062948</v>
      </c>
      <c r="F9" s="161">
        <v>42927100</v>
      </c>
      <c r="H9" s="49"/>
      <c r="I9" s="50"/>
      <c r="M9" s="50"/>
      <c r="N9" s="50"/>
      <c r="P9" s="47" t="s">
        <v>108</v>
      </c>
    </row>
    <row r="10" spans="1:16" ht="48" customHeight="1" x14ac:dyDescent="0.2">
      <c r="A10" s="74">
        <v>2</v>
      </c>
      <c r="B10" s="118" t="s">
        <v>507</v>
      </c>
      <c r="C10" s="148" t="s">
        <v>109</v>
      </c>
      <c r="D10" s="10">
        <v>21377023</v>
      </c>
      <c r="E10" s="10">
        <v>7477428</v>
      </c>
      <c r="F10" s="161">
        <v>21377023</v>
      </c>
      <c r="H10" s="49"/>
      <c r="I10" s="50"/>
      <c r="M10" s="50"/>
      <c r="N10" s="50"/>
      <c r="P10" s="47" t="s">
        <v>109</v>
      </c>
    </row>
    <row r="11" spans="1:16" ht="39" customHeight="1" x14ac:dyDescent="0.2">
      <c r="A11" s="74"/>
      <c r="B11" s="119" t="s">
        <v>309</v>
      </c>
      <c r="C11" s="165" t="s">
        <v>310</v>
      </c>
      <c r="D11" s="10">
        <v>15000000</v>
      </c>
      <c r="E11" s="10">
        <v>0</v>
      </c>
      <c r="F11" s="161">
        <v>15000000</v>
      </c>
      <c r="H11" s="49"/>
      <c r="I11" s="50"/>
      <c r="M11" s="50"/>
      <c r="N11" s="50"/>
      <c r="P11" s="47" t="s">
        <v>310</v>
      </c>
    </row>
    <row r="12" spans="1:16" ht="39" customHeight="1" x14ac:dyDescent="0.2">
      <c r="A12" s="74"/>
      <c r="B12" s="119" t="s">
        <v>311</v>
      </c>
      <c r="C12" s="165" t="s">
        <v>312</v>
      </c>
      <c r="D12" s="10">
        <v>0</v>
      </c>
      <c r="E12" s="10">
        <v>1977428</v>
      </c>
      <c r="F12" s="10">
        <v>0</v>
      </c>
      <c r="H12" s="49"/>
      <c r="I12" s="50"/>
      <c r="M12" s="50"/>
      <c r="N12" s="50"/>
      <c r="P12" s="47" t="s">
        <v>312</v>
      </c>
    </row>
    <row r="13" spans="1:16" ht="39" customHeight="1" x14ac:dyDescent="0.2">
      <c r="A13" s="74"/>
      <c r="B13" s="119" t="s">
        <v>506</v>
      </c>
      <c r="C13" s="165" t="s">
        <v>313</v>
      </c>
      <c r="D13" s="10">
        <v>877023</v>
      </c>
      <c r="E13" s="10">
        <v>0</v>
      </c>
      <c r="F13" s="161">
        <v>877023</v>
      </c>
      <c r="H13" s="49"/>
      <c r="I13" s="50"/>
      <c r="M13" s="50"/>
      <c r="N13" s="50"/>
      <c r="P13" s="47" t="s">
        <v>313</v>
      </c>
    </row>
    <row r="14" spans="1:16" ht="39" customHeight="1" x14ac:dyDescent="0.2">
      <c r="A14" s="74"/>
      <c r="B14" s="119" t="s">
        <v>314</v>
      </c>
      <c r="C14" s="165" t="s">
        <v>315</v>
      </c>
      <c r="D14" s="10">
        <v>5500000</v>
      </c>
      <c r="E14" s="10">
        <v>5500000</v>
      </c>
      <c r="F14" s="161">
        <v>5500000</v>
      </c>
      <c r="H14" s="49"/>
      <c r="I14" s="50"/>
      <c r="M14" s="50"/>
      <c r="N14" s="50"/>
      <c r="P14" s="47" t="s">
        <v>315</v>
      </c>
    </row>
    <row r="15" spans="1:16" ht="75" customHeight="1" x14ac:dyDescent="0.2">
      <c r="A15" s="74">
        <v>3</v>
      </c>
      <c r="B15" s="120" t="s">
        <v>316</v>
      </c>
      <c r="C15" s="148" t="s">
        <v>110</v>
      </c>
      <c r="D15" s="10">
        <v>27500000</v>
      </c>
      <c r="E15" s="10">
        <v>27500000</v>
      </c>
      <c r="F15" s="161">
        <v>27500000</v>
      </c>
      <c r="H15" s="49"/>
      <c r="I15" s="50"/>
      <c r="M15" s="50"/>
      <c r="N15" s="50"/>
      <c r="P15" s="47" t="s">
        <v>110</v>
      </c>
    </row>
    <row r="16" spans="1:16" ht="39" customHeight="1" x14ac:dyDescent="0.2">
      <c r="A16" s="74"/>
      <c r="B16" s="121" t="s">
        <v>317</v>
      </c>
      <c r="C16" s="165" t="s">
        <v>318</v>
      </c>
      <c r="D16" s="10">
        <v>16500000</v>
      </c>
      <c r="E16" s="10">
        <v>16500000</v>
      </c>
      <c r="F16" s="161">
        <v>16500000</v>
      </c>
      <c r="H16" s="49"/>
      <c r="I16" s="50"/>
      <c r="M16" s="50"/>
      <c r="N16" s="50"/>
      <c r="P16" s="47" t="s">
        <v>318</v>
      </c>
    </row>
    <row r="17" spans="1:16" ht="39" customHeight="1" x14ac:dyDescent="0.2">
      <c r="A17" s="74"/>
      <c r="B17" s="121" t="s">
        <v>319</v>
      </c>
      <c r="C17" s="165" t="s">
        <v>320</v>
      </c>
      <c r="D17" s="10">
        <v>11000000</v>
      </c>
      <c r="E17" s="10">
        <v>11000000</v>
      </c>
      <c r="F17" s="161">
        <v>11000000</v>
      </c>
      <c r="H17" s="49"/>
      <c r="I17" s="50"/>
      <c r="M17" s="50"/>
      <c r="N17" s="50"/>
      <c r="P17" s="47" t="s">
        <v>320</v>
      </c>
    </row>
    <row r="18" spans="1:16" ht="39" customHeight="1" x14ac:dyDescent="0.2">
      <c r="A18" s="74">
        <v>4</v>
      </c>
      <c r="B18" s="115" t="s">
        <v>321</v>
      </c>
      <c r="C18" s="148" t="s">
        <v>113</v>
      </c>
      <c r="D18" s="10">
        <v>5503559</v>
      </c>
      <c r="E18" s="10">
        <v>32400000</v>
      </c>
      <c r="F18" s="161">
        <v>5503559</v>
      </c>
      <c r="H18" s="49"/>
      <c r="I18" s="50"/>
      <c r="M18" s="50"/>
      <c r="N18" s="50"/>
      <c r="P18" s="47" t="s">
        <v>113</v>
      </c>
    </row>
    <row r="19" spans="1:16" ht="81" customHeight="1" x14ac:dyDescent="0.2">
      <c r="A19" s="74">
        <v>5</v>
      </c>
      <c r="B19" s="115" t="s">
        <v>322</v>
      </c>
      <c r="C19" s="148" t="s">
        <v>114</v>
      </c>
      <c r="D19" s="10">
        <v>5000000</v>
      </c>
      <c r="E19" s="10">
        <v>5000000</v>
      </c>
      <c r="F19" s="161">
        <v>5000000</v>
      </c>
      <c r="H19" s="49"/>
      <c r="I19" s="50"/>
      <c r="M19" s="50"/>
      <c r="N19" s="50"/>
      <c r="P19" s="47" t="s">
        <v>114</v>
      </c>
    </row>
    <row r="20" spans="1:16" ht="39" customHeight="1" x14ac:dyDescent="0.2">
      <c r="A20" s="74"/>
      <c r="B20" s="122" t="s">
        <v>323</v>
      </c>
      <c r="C20" s="148" t="s">
        <v>324</v>
      </c>
      <c r="D20" s="10">
        <v>5000000</v>
      </c>
      <c r="E20" s="10">
        <v>5000000</v>
      </c>
      <c r="F20" s="161">
        <v>5000000</v>
      </c>
      <c r="H20" s="49"/>
      <c r="I20" s="50"/>
      <c r="M20" s="50"/>
      <c r="N20" s="50"/>
      <c r="P20" s="47" t="s">
        <v>324</v>
      </c>
    </row>
    <row r="21" spans="1:16" ht="39" customHeight="1" x14ac:dyDescent="0.2">
      <c r="A21" s="74"/>
      <c r="B21" s="122" t="s">
        <v>325</v>
      </c>
      <c r="C21" s="148" t="s">
        <v>326</v>
      </c>
      <c r="D21" s="10">
        <v>0</v>
      </c>
      <c r="E21" s="10">
        <v>0</v>
      </c>
      <c r="F21" s="161">
        <v>0</v>
      </c>
      <c r="H21" s="49"/>
      <c r="I21" s="50"/>
      <c r="M21" s="50"/>
      <c r="N21" s="50"/>
      <c r="P21" s="47" t="s">
        <v>326</v>
      </c>
    </row>
    <row r="22" spans="1:16" ht="155.25" customHeight="1" x14ac:dyDescent="0.2">
      <c r="A22" s="74">
        <v>6</v>
      </c>
      <c r="B22" s="120" t="s">
        <v>327</v>
      </c>
      <c r="C22" s="148" t="s">
        <v>115</v>
      </c>
      <c r="D22" s="10">
        <v>0</v>
      </c>
      <c r="E22" s="10">
        <v>0</v>
      </c>
      <c r="F22" s="161">
        <v>0</v>
      </c>
      <c r="H22" s="49"/>
      <c r="I22" s="50"/>
      <c r="M22" s="50"/>
      <c r="N22" s="50"/>
      <c r="P22" s="47" t="s">
        <v>115</v>
      </c>
    </row>
    <row r="23" spans="1:16" ht="39" customHeight="1" x14ac:dyDescent="0.2">
      <c r="A23" s="74"/>
      <c r="B23" s="121" t="s">
        <v>328</v>
      </c>
      <c r="C23" s="165" t="s">
        <v>329</v>
      </c>
      <c r="D23" s="10">
        <v>0</v>
      </c>
      <c r="E23" s="10">
        <v>0</v>
      </c>
      <c r="F23" s="161">
        <v>0</v>
      </c>
      <c r="H23" s="49"/>
      <c r="I23" s="50"/>
      <c r="M23" s="50"/>
      <c r="N23" s="50"/>
      <c r="P23" s="47" t="s">
        <v>329</v>
      </c>
    </row>
    <row r="24" spans="1:16" ht="39" customHeight="1" x14ac:dyDescent="0.2">
      <c r="A24" s="74"/>
      <c r="B24" s="121" t="s">
        <v>330</v>
      </c>
      <c r="C24" s="165" t="s">
        <v>331</v>
      </c>
      <c r="D24" s="10">
        <v>0</v>
      </c>
      <c r="E24" s="10">
        <v>0</v>
      </c>
      <c r="F24" s="161">
        <v>0</v>
      </c>
      <c r="H24" s="49"/>
      <c r="I24" s="50"/>
      <c r="M24" s="50"/>
      <c r="N24" s="50"/>
      <c r="P24" s="47" t="s">
        <v>331</v>
      </c>
    </row>
    <row r="25" spans="1:16" ht="48" customHeight="1" x14ac:dyDescent="0.2">
      <c r="A25" s="74"/>
      <c r="B25" s="121" t="s">
        <v>332</v>
      </c>
      <c r="C25" s="165" t="s">
        <v>333</v>
      </c>
      <c r="D25" s="10">
        <v>0</v>
      </c>
      <c r="E25" s="10">
        <v>0</v>
      </c>
      <c r="F25" s="161">
        <v>0</v>
      </c>
      <c r="H25" s="49"/>
      <c r="I25" s="50"/>
      <c r="M25" s="50"/>
      <c r="N25" s="50"/>
      <c r="P25" s="47" t="s">
        <v>333</v>
      </c>
    </row>
    <row r="26" spans="1:16" ht="39" customHeight="1" x14ac:dyDescent="0.2">
      <c r="A26" s="74"/>
      <c r="B26" s="122" t="s">
        <v>334</v>
      </c>
      <c r="C26" s="165" t="s">
        <v>335</v>
      </c>
      <c r="D26" s="10">
        <v>0</v>
      </c>
      <c r="E26" s="10">
        <v>0</v>
      </c>
      <c r="F26" s="161">
        <v>0</v>
      </c>
      <c r="H26" s="49"/>
      <c r="I26" s="50"/>
      <c r="M26" s="50"/>
      <c r="N26" s="50"/>
      <c r="P26" s="47" t="s">
        <v>335</v>
      </c>
    </row>
    <row r="27" spans="1:16" ht="63" customHeight="1" x14ac:dyDescent="0.2">
      <c r="A27" s="74"/>
      <c r="B27" s="122" t="s">
        <v>483</v>
      </c>
      <c r="C27" s="165" t="s">
        <v>484</v>
      </c>
      <c r="D27" s="10">
        <v>0</v>
      </c>
      <c r="E27" s="10">
        <v>0</v>
      </c>
      <c r="F27" s="161">
        <v>0</v>
      </c>
      <c r="H27" s="49"/>
      <c r="I27" s="50"/>
      <c r="M27" s="50"/>
      <c r="N27" s="50"/>
      <c r="P27" s="47" t="s">
        <v>111</v>
      </c>
    </row>
    <row r="28" spans="1:16" ht="39" customHeight="1" x14ac:dyDescent="0.2">
      <c r="A28" s="74">
        <v>7</v>
      </c>
      <c r="B28" s="115" t="s">
        <v>336</v>
      </c>
      <c r="C28" s="148" t="s">
        <v>111</v>
      </c>
      <c r="D28" s="10">
        <v>0</v>
      </c>
      <c r="E28" s="10">
        <v>7909710</v>
      </c>
      <c r="F28" s="10">
        <v>0</v>
      </c>
      <c r="H28" s="49"/>
      <c r="I28" s="50"/>
      <c r="M28" s="50"/>
      <c r="N28" s="50"/>
      <c r="P28" s="47" t="s">
        <v>338</v>
      </c>
    </row>
    <row r="29" spans="1:16" ht="39" customHeight="1" x14ac:dyDescent="0.2">
      <c r="A29" s="74"/>
      <c r="B29" s="119" t="s">
        <v>337</v>
      </c>
      <c r="C29" s="165" t="s">
        <v>338</v>
      </c>
      <c r="D29" s="10">
        <v>0</v>
      </c>
      <c r="E29" s="10">
        <v>7909710</v>
      </c>
      <c r="F29" s="10">
        <v>0</v>
      </c>
      <c r="H29" s="49"/>
      <c r="I29" s="50"/>
      <c r="M29" s="50"/>
      <c r="N29" s="50"/>
      <c r="P29" s="47" t="s">
        <v>340</v>
      </c>
    </row>
    <row r="30" spans="1:16" ht="39" customHeight="1" x14ac:dyDescent="0.2">
      <c r="A30" s="74"/>
      <c r="B30" s="119" t="s">
        <v>339</v>
      </c>
      <c r="C30" s="165" t="s">
        <v>340</v>
      </c>
      <c r="D30" s="10">
        <v>0</v>
      </c>
      <c r="E30" s="10">
        <v>0</v>
      </c>
      <c r="F30" s="161">
        <v>0</v>
      </c>
      <c r="H30" s="49"/>
      <c r="I30" s="50"/>
      <c r="M30" s="50"/>
      <c r="N30" s="50"/>
      <c r="P30" s="47" t="s">
        <v>112</v>
      </c>
    </row>
    <row r="31" spans="1:16" ht="39" customHeight="1" x14ac:dyDescent="0.2">
      <c r="A31" s="74"/>
      <c r="B31" s="119" t="s">
        <v>351</v>
      </c>
      <c r="C31" s="165" t="s">
        <v>485</v>
      </c>
      <c r="D31" s="10">
        <v>0</v>
      </c>
      <c r="E31" s="10">
        <v>0</v>
      </c>
      <c r="F31" s="161">
        <v>0</v>
      </c>
      <c r="H31" s="49"/>
      <c r="I31" s="50"/>
      <c r="M31" s="50"/>
      <c r="N31" s="50"/>
      <c r="P31" s="47" t="s">
        <v>343</v>
      </c>
    </row>
    <row r="32" spans="1:16" ht="39" customHeight="1" x14ac:dyDescent="0.2">
      <c r="A32" s="74">
        <v>8</v>
      </c>
      <c r="B32" s="118" t="s">
        <v>341</v>
      </c>
      <c r="C32" s="148" t="s">
        <v>112</v>
      </c>
      <c r="D32" s="10">
        <v>849315</v>
      </c>
      <c r="E32" s="10">
        <v>1917572</v>
      </c>
      <c r="F32" s="161">
        <v>849315</v>
      </c>
      <c r="H32" s="49"/>
      <c r="I32" s="50"/>
      <c r="M32" s="50"/>
      <c r="N32" s="50"/>
      <c r="P32" s="47" t="s">
        <v>345</v>
      </c>
    </row>
    <row r="33" spans="1:16" ht="39" customHeight="1" x14ac:dyDescent="0.2">
      <c r="A33" s="74"/>
      <c r="B33" s="119" t="s">
        <v>342</v>
      </c>
      <c r="C33" s="165" t="s">
        <v>343</v>
      </c>
      <c r="D33" s="10">
        <v>0</v>
      </c>
      <c r="E33" s="10">
        <v>0</v>
      </c>
      <c r="F33" s="161">
        <v>0</v>
      </c>
      <c r="H33" s="49"/>
      <c r="I33" s="50"/>
      <c r="M33" s="50"/>
      <c r="N33" s="50"/>
      <c r="P33" s="47" t="s">
        <v>347</v>
      </c>
    </row>
    <row r="34" spans="1:16" ht="39" customHeight="1" x14ac:dyDescent="0.2">
      <c r="A34" s="74"/>
      <c r="B34" s="119" t="s">
        <v>344</v>
      </c>
      <c r="C34" s="165" t="s">
        <v>345</v>
      </c>
      <c r="D34" s="10">
        <v>0</v>
      </c>
      <c r="E34" s="10">
        <v>0</v>
      </c>
      <c r="F34" s="161">
        <v>0</v>
      </c>
      <c r="H34" s="49"/>
      <c r="I34" s="50"/>
      <c r="M34" s="50"/>
      <c r="N34" s="50"/>
      <c r="P34" s="47" t="s">
        <v>349</v>
      </c>
    </row>
    <row r="35" spans="1:16" ht="39" customHeight="1" x14ac:dyDescent="0.2">
      <c r="A35" s="74"/>
      <c r="B35" s="119" t="s">
        <v>346</v>
      </c>
      <c r="C35" s="165" t="s">
        <v>347</v>
      </c>
      <c r="D35" s="10">
        <v>849315</v>
      </c>
      <c r="E35" s="10">
        <v>1741572</v>
      </c>
      <c r="F35" s="161">
        <v>849315</v>
      </c>
      <c r="H35" s="49"/>
      <c r="I35" s="50"/>
      <c r="M35" s="50"/>
      <c r="N35" s="50"/>
    </row>
    <row r="36" spans="1:16" ht="39" customHeight="1" x14ac:dyDescent="0.2">
      <c r="A36" s="74"/>
      <c r="B36" s="119" t="s">
        <v>348</v>
      </c>
      <c r="C36" s="165" t="s">
        <v>349</v>
      </c>
      <c r="D36" s="10">
        <v>0</v>
      </c>
      <c r="E36" s="10">
        <v>176000</v>
      </c>
      <c r="F36" s="161">
        <v>0</v>
      </c>
      <c r="H36" s="49"/>
      <c r="I36" s="50"/>
      <c r="M36" s="50"/>
      <c r="N36" s="50"/>
    </row>
    <row r="37" spans="1:16" ht="39" customHeight="1" x14ac:dyDescent="0.2">
      <c r="A37" s="75"/>
      <c r="B37" s="119" t="s">
        <v>508</v>
      </c>
      <c r="C37" s="160" t="s">
        <v>350</v>
      </c>
      <c r="D37" s="10">
        <v>0</v>
      </c>
      <c r="E37" s="10">
        <v>0</v>
      </c>
      <c r="F37" s="161">
        <v>0</v>
      </c>
      <c r="H37" s="49"/>
      <c r="I37" s="50"/>
      <c r="M37" s="50"/>
      <c r="N37" s="50"/>
      <c r="P37" s="47" t="s">
        <v>350</v>
      </c>
    </row>
    <row r="38" spans="1:16" ht="43.5" customHeight="1" x14ac:dyDescent="0.2">
      <c r="A38" s="74"/>
      <c r="B38" s="119" t="s">
        <v>351</v>
      </c>
      <c r="C38" s="165" t="s">
        <v>472</v>
      </c>
      <c r="D38" s="10">
        <v>0</v>
      </c>
      <c r="E38" s="10">
        <v>0</v>
      </c>
      <c r="F38" s="161">
        <v>0</v>
      </c>
      <c r="H38" s="49"/>
      <c r="I38" s="50"/>
      <c r="M38" s="50"/>
      <c r="N38" s="50"/>
      <c r="P38" s="47" t="s">
        <v>117</v>
      </c>
    </row>
    <row r="39" spans="1:16" ht="39" customHeight="1" x14ac:dyDescent="0.2">
      <c r="A39" s="76" t="s">
        <v>116</v>
      </c>
      <c r="B39" s="113" t="s">
        <v>352</v>
      </c>
      <c r="C39" s="162" t="s">
        <v>117</v>
      </c>
      <c r="D39" s="18">
        <v>-34703223</v>
      </c>
      <c r="E39" s="18">
        <v>-11754177</v>
      </c>
      <c r="F39" s="18">
        <v>-34703223</v>
      </c>
      <c r="H39" s="49"/>
      <c r="I39" s="50"/>
      <c r="M39" s="50"/>
      <c r="N39" s="50"/>
      <c r="P39" s="47" t="s">
        <v>119</v>
      </c>
    </row>
    <row r="40" spans="1:16" ht="39" customHeight="1" x14ac:dyDescent="0.2">
      <c r="A40" s="76" t="s">
        <v>118</v>
      </c>
      <c r="B40" s="113" t="s">
        <v>353</v>
      </c>
      <c r="C40" s="162" t="s">
        <v>119</v>
      </c>
      <c r="D40" s="18">
        <v>83500000</v>
      </c>
      <c r="E40" s="18">
        <v>699175000</v>
      </c>
      <c r="F40" s="18">
        <v>83500000</v>
      </c>
      <c r="G40" s="49"/>
      <c r="M40" s="50"/>
      <c r="N40" s="50"/>
      <c r="P40" s="47" t="s">
        <v>120</v>
      </c>
    </row>
    <row r="41" spans="1:16" ht="71.25" customHeight="1" x14ac:dyDescent="0.2">
      <c r="A41" s="74">
        <v>1</v>
      </c>
      <c r="B41" s="115" t="s">
        <v>354</v>
      </c>
      <c r="C41" s="148" t="s">
        <v>120</v>
      </c>
      <c r="D41" s="19">
        <v>0</v>
      </c>
      <c r="E41" s="19">
        <v>24500000</v>
      </c>
      <c r="F41" s="19">
        <v>0</v>
      </c>
      <c r="G41" s="30" t="s">
        <v>424</v>
      </c>
      <c r="M41" s="50"/>
      <c r="N41" s="50"/>
      <c r="P41" s="47" t="s">
        <v>122</v>
      </c>
    </row>
    <row r="42" spans="1:16" ht="75" customHeight="1" x14ac:dyDescent="0.2">
      <c r="A42" s="74">
        <v>2</v>
      </c>
      <c r="B42" s="115" t="s">
        <v>355</v>
      </c>
      <c r="C42" s="148" t="s">
        <v>122</v>
      </c>
      <c r="D42" s="19">
        <v>83500000</v>
      </c>
      <c r="E42" s="19">
        <v>674675000</v>
      </c>
      <c r="F42" s="19">
        <v>83500000</v>
      </c>
      <c r="G42" s="51">
        <v>477364281</v>
      </c>
      <c r="H42" s="52"/>
      <c r="I42" s="53"/>
      <c r="J42" s="54"/>
      <c r="K42" s="55" t="s">
        <v>425</v>
      </c>
      <c r="L42" s="56" t="s">
        <v>426</v>
      </c>
      <c r="M42" s="50"/>
      <c r="N42" s="50"/>
      <c r="P42" s="47" t="s">
        <v>124</v>
      </c>
    </row>
    <row r="43" spans="1:16" ht="68.25" customHeight="1" x14ac:dyDescent="0.2">
      <c r="A43" s="76" t="s">
        <v>123</v>
      </c>
      <c r="B43" s="113" t="s">
        <v>356</v>
      </c>
      <c r="C43" s="162" t="s">
        <v>124</v>
      </c>
      <c r="D43" s="18">
        <v>48796777</v>
      </c>
      <c r="E43" s="18">
        <v>687420823</v>
      </c>
      <c r="F43" s="18">
        <v>48796777</v>
      </c>
      <c r="G43" s="51">
        <v>0</v>
      </c>
      <c r="H43" s="57"/>
      <c r="I43" s="58"/>
      <c r="J43" s="59" t="s">
        <v>427</v>
      </c>
      <c r="K43" s="60">
        <v>0</v>
      </c>
      <c r="L43" s="61">
        <v>0</v>
      </c>
      <c r="M43" s="50"/>
      <c r="N43" s="50"/>
      <c r="P43" s="47" t="s">
        <v>126</v>
      </c>
    </row>
    <row r="44" spans="1:16" ht="58.5" customHeight="1" x14ac:dyDescent="0.2">
      <c r="A44" s="76" t="s">
        <v>125</v>
      </c>
      <c r="B44" s="113" t="s">
        <v>357</v>
      </c>
      <c r="C44" s="162" t="s">
        <v>126</v>
      </c>
      <c r="D44" s="18">
        <v>51112494240</v>
      </c>
      <c r="E44" s="18">
        <v>50322940167</v>
      </c>
      <c r="F44" s="18">
        <v>51112494240</v>
      </c>
      <c r="G44" s="49"/>
      <c r="H44" s="49"/>
      <c r="I44" s="50"/>
      <c r="J44" s="59" t="s">
        <v>428</v>
      </c>
      <c r="K44" s="60"/>
      <c r="L44" s="61"/>
      <c r="M44" s="50"/>
      <c r="N44" s="50"/>
      <c r="P44" s="47" t="s">
        <v>128</v>
      </c>
    </row>
    <row r="45" spans="1:16" ht="46.5" customHeight="1" x14ac:dyDescent="0.2">
      <c r="A45" s="76" t="s">
        <v>127</v>
      </c>
      <c r="B45" s="113" t="s">
        <v>358</v>
      </c>
      <c r="C45" s="162" t="s">
        <v>128</v>
      </c>
      <c r="D45" s="18">
        <v>228263525</v>
      </c>
      <c r="E45" s="18">
        <v>789554073</v>
      </c>
      <c r="F45" s="18">
        <v>228263525</v>
      </c>
      <c r="H45" s="48" t="s">
        <v>429</v>
      </c>
      <c r="J45" s="59" t="s">
        <v>430</v>
      </c>
      <c r="K45" s="60">
        <v>49750000</v>
      </c>
      <c r="L45" s="61">
        <v>0</v>
      </c>
      <c r="M45" s="50"/>
      <c r="N45" s="50"/>
      <c r="P45" s="47" t="s">
        <v>360</v>
      </c>
    </row>
    <row r="46" spans="1:16" ht="38.25" customHeight="1" x14ac:dyDescent="0.2">
      <c r="A46" s="74"/>
      <c r="B46" s="115" t="s">
        <v>359</v>
      </c>
      <c r="C46" s="148" t="s">
        <v>360</v>
      </c>
      <c r="D46" s="10">
        <v>0</v>
      </c>
      <c r="E46" s="10">
        <v>0</v>
      </c>
      <c r="F46" s="161">
        <v>0</v>
      </c>
      <c r="J46" s="59" t="s">
        <v>431</v>
      </c>
      <c r="K46" s="60">
        <v>0</v>
      </c>
      <c r="L46" s="61">
        <v>0</v>
      </c>
      <c r="M46" s="50"/>
      <c r="N46" s="50"/>
      <c r="P46" s="47" t="s">
        <v>129</v>
      </c>
    </row>
    <row r="47" spans="1:16" ht="63" customHeight="1" x14ac:dyDescent="0.2">
      <c r="A47" s="74">
        <v>1</v>
      </c>
      <c r="B47" s="115" t="s">
        <v>361</v>
      </c>
      <c r="C47" s="148" t="s">
        <v>486</v>
      </c>
      <c r="D47" s="10">
        <v>48796777</v>
      </c>
      <c r="E47" s="10">
        <v>687420823</v>
      </c>
      <c r="F47" s="161">
        <v>48796777</v>
      </c>
      <c r="J47" s="59" t="s">
        <v>432</v>
      </c>
      <c r="K47" s="60"/>
      <c r="L47" s="61"/>
      <c r="M47" s="50"/>
      <c r="N47" s="50"/>
      <c r="P47" s="47" t="s">
        <v>433</v>
      </c>
    </row>
    <row r="48" spans="1:16" ht="66.75" customHeight="1" x14ac:dyDescent="0.2">
      <c r="A48" s="74">
        <v>2</v>
      </c>
      <c r="B48" s="115" t="s">
        <v>362</v>
      </c>
      <c r="C48" s="148" t="s">
        <v>487</v>
      </c>
      <c r="D48" s="161">
        <v>0</v>
      </c>
      <c r="E48" s="161">
        <v>0</v>
      </c>
      <c r="F48" s="161">
        <v>0</v>
      </c>
      <c r="J48" s="59"/>
      <c r="K48" s="60"/>
      <c r="L48" s="61"/>
      <c r="M48" s="50"/>
      <c r="N48" s="50"/>
    </row>
    <row r="49" spans="1:16" ht="57" customHeight="1" x14ac:dyDescent="0.2">
      <c r="A49" s="74">
        <v>3</v>
      </c>
      <c r="B49" s="115" t="s">
        <v>363</v>
      </c>
      <c r="C49" s="148" t="s">
        <v>129</v>
      </c>
      <c r="D49" s="161">
        <v>179466748</v>
      </c>
      <c r="E49" s="161">
        <v>102133250</v>
      </c>
      <c r="F49" s="161">
        <v>179466748</v>
      </c>
      <c r="J49" s="59" t="s">
        <v>434</v>
      </c>
      <c r="K49" s="60"/>
      <c r="L49" s="61"/>
      <c r="M49" s="50"/>
      <c r="N49" s="50"/>
      <c r="P49" s="47" t="s">
        <v>435</v>
      </c>
    </row>
    <row r="50" spans="1:16" ht="48" customHeight="1" x14ac:dyDescent="0.2">
      <c r="A50" s="74"/>
      <c r="B50" s="115" t="s">
        <v>364</v>
      </c>
      <c r="C50" s="148" t="s">
        <v>488</v>
      </c>
      <c r="D50" s="163">
        <v>190109226</v>
      </c>
      <c r="E50" s="163">
        <v>144992625</v>
      </c>
      <c r="F50" s="163">
        <v>190109226</v>
      </c>
      <c r="J50" s="59" t="s">
        <v>436</v>
      </c>
      <c r="K50" s="60"/>
      <c r="L50" s="61"/>
      <c r="M50" s="50"/>
      <c r="N50" s="50"/>
      <c r="P50" s="47" t="s">
        <v>437</v>
      </c>
    </row>
    <row r="51" spans="1:16" ht="43.5" customHeight="1" x14ac:dyDescent="0.2">
      <c r="A51" s="74"/>
      <c r="B51" s="115" t="s">
        <v>365</v>
      </c>
      <c r="C51" s="148" t="s">
        <v>489</v>
      </c>
      <c r="D51" s="161">
        <v>-10642478</v>
      </c>
      <c r="E51" s="161">
        <v>-42859375</v>
      </c>
      <c r="F51" s="161">
        <v>-10642478</v>
      </c>
      <c r="G51" s="47"/>
      <c r="H51" s="47"/>
    </row>
    <row r="52" spans="1:16" ht="35.25" customHeight="1" x14ac:dyDescent="0.2">
      <c r="A52" s="13" t="s">
        <v>130</v>
      </c>
      <c r="B52" s="113" t="s">
        <v>366</v>
      </c>
      <c r="C52" s="162" t="s">
        <v>131</v>
      </c>
      <c r="D52" s="18">
        <v>51340757765</v>
      </c>
      <c r="E52" s="18">
        <v>51112494240</v>
      </c>
      <c r="F52" s="18">
        <v>51340757765</v>
      </c>
      <c r="G52" s="47"/>
      <c r="H52" s="47"/>
    </row>
    <row r="53" spans="1:16" x14ac:dyDescent="0.2">
      <c r="B53" s="166"/>
      <c r="G53" s="47"/>
      <c r="H53" s="47"/>
    </row>
    <row r="54" spans="1:16" x14ac:dyDescent="0.2">
      <c r="B54" s="166"/>
      <c r="G54" s="47"/>
      <c r="H54" s="47"/>
    </row>
    <row r="55" spans="1:16" x14ac:dyDescent="0.2">
      <c r="B55" s="166"/>
      <c r="G55" s="47"/>
      <c r="H55" s="47"/>
    </row>
    <row r="56" spans="1:16" x14ac:dyDescent="0.2">
      <c r="B56" s="166"/>
      <c r="G56" s="47"/>
      <c r="H56" s="47"/>
    </row>
    <row r="57" spans="1:16" x14ac:dyDescent="0.2">
      <c r="B57" s="166"/>
      <c r="G57" s="47"/>
      <c r="H57" s="47"/>
    </row>
    <row r="58" spans="1:16" x14ac:dyDescent="0.2">
      <c r="B58" s="166"/>
      <c r="G58" s="47"/>
      <c r="H58" s="47"/>
    </row>
    <row r="59" spans="1:16" x14ac:dyDescent="0.2">
      <c r="B59" s="166"/>
      <c r="G59" s="47"/>
      <c r="H59" s="47"/>
    </row>
    <row r="60" spans="1:16" x14ac:dyDescent="0.2">
      <c r="B60" s="166"/>
      <c r="G60" s="47"/>
      <c r="H60" s="47"/>
    </row>
    <row r="61" spans="1:16" x14ac:dyDescent="0.2">
      <c r="B61" s="166"/>
      <c r="G61" s="47"/>
      <c r="H61" s="47"/>
    </row>
    <row r="62" spans="1:16" x14ac:dyDescent="0.2">
      <c r="B62" s="166"/>
      <c r="D62" s="47"/>
      <c r="E62" s="47"/>
      <c r="F62" s="47"/>
      <c r="G62" s="47"/>
      <c r="H62" s="47"/>
    </row>
    <row r="63" spans="1:16" x14ac:dyDescent="0.2">
      <c r="B63" s="166"/>
      <c r="D63" s="47"/>
      <c r="E63" s="47"/>
      <c r="F63" s="47"/>
      <c r="G63" s="47"/>
      <c r="H63" s="47"/>
    </row>
    <row r="64" spans="1:16" x14ac:dyDescent="0.2">
      <c r="B64" s="166"/>
      <c r="D64" s="47"/>
      <c r="E64" s="47"/>
      <c r="F64" s="47"/>
      <c r="G64" s="47"/>
      <c r="H64" s="47"/>
    </row>
    <row r="65" spans="2:8" x14ac:dyDescent="0.2">
      <c r="B65" s="166"/>
      <c r="D65" s="47"/>
      <c r="E65" s="47"/>
      <c r="F65" s="47"/>
      <c r="G65" s="47"/>
      <c r="H65" s="47"/>
    </row>
    <row r="66" spans="2:8" x14ac:dyDescent="0.2">
      <c r="B66" s="166"/>
      <c r="D66" s="47"/>
      <c r="E66" s="47"/>
      <c r="F66" s="47"/>
      <c r="G66" s="47"/>
      <c r="H66" s="47"/>
    </row>
    <row r="67" spans="2:8" x14ac:dyDescent="0.2">
      <c r="B67" s="166"/>
      <c r="D67" s="47"/>
      <c r="E67" s="47"/>
      <c r="F67" s="47"/>
      <c r="G67" s="47"/>
      <c r="H67" s="47"/>
    </row>
    <row r="68" spans="2:8" x14ac:dyDescent="0.2">
      <c r="B68" s="166"/>
      <c r="D68" s="47"/>
      <c r="E68" s="47"/>
      <c r="F68" s="47"/>
      <c r="G68" s="47"/>
      <c r="H68" s="47"/>
    </row>
    <row r="69" spans="2:8" x14ac:dyDescent="0.2">
      <c r="B69" s="166"/>
      <c r="D69" s="47"/>
      <c r="E69" s="47"/>
      <c r="F69" s="47"/>
      <c r="G69" s="47"/>
      <c r="H69" s="47"/>
    </row>
    <row r="70" spans="2:8" x14ac:dyDescent="0.2">
      <c r="B70" s="166"/>
      <c r="D70" s="47"/>
      <c r="E70" s="47"/>
      <c r="F70" s="47"/>
      <c r="G70" s="47"/>
      <c r="H70" s="47"/>
    </row>
    <row r="71" spans="2:8" x14ac:dyDescent="0.2">
      <c r="B71" s="166"/>
      <c r="D71" s="47"/>
      <c r="E71" s="47"/>
      <c r="F71" s="47"/>
      <c r="G71" s="47"/>
      <c r="H71" s="47"/>
    </row>
    <row r="72" spans="2:8" x14ac:dyDescent="0.2">
      <c r="B72" s="166"/>
      <c r="D72" s="47"/>
      <c r="E72" s="47"/>
      <c r="F72" s="47"/>
      <c r="G72" s="47"/>
      <c r="H72" s="47"/>
    </row>
    <row r="73" spans="2:8" x14ac:dyDescent="0.2">
      <c r="B73" s="166"/>
      <c r="D73" s="47"/>
      <c r="E73" s="47"/>
      <c r="F73" s="47"/>
      <c r="G73" s="47"/>
      <c r="H73" s="47"/>
    </row>
    <row r="74" spans="2:8" x14ac:dyDescent="0.2">
      <c r="B74" s="166"/>
      <c r="D74" s="47"/>
      <c r="E74" s="47"/>
      <c r="F74" s="47"/>
      <c r="G74" s="47"/>
      <c r="H74" s="47"/>
    </row>
    <row r="75" spans="2:8" x14ac:dyDescent="0.2">
      <c r="B75" s="166"/>
      <c r="D75" s="47"/>
      <c r="E75" s="47"/>
      <c r="F75" s="47"/>
      <c r="G75" s="47"/>
      <c r="H75" s="47"/>
    </row>
    <row r="76" spans="2:8" x14ac:dyDescent="0.2">
      <c r="B76" s="166"/>
      <c r="D76" s="47"/>
      <c r="E76" s="47"/>
      <c r="F76" s="47"/>
      <c r="G76" s="47"/>
      <c r="H76" s="47"/>
    </row>
    <row r="77" spans="2:8" x14ac:dyDescent="0.2">
      <c r="B77" s="166"/>
      <c r="D77" s="47"/>
      <c r="E77" s="47"/>
      <c r="F77" s="47"/>
      <c r="G77" s="47"/>
      <c r="H77" s="47"/>
    </row>
    <row r="78" spans="2:8" x14ac:dyDescent="0.2">
      <c r="B78" s="166"/>
      <c r="D78" s="47"/>
      <c r="E78" s="47"/>
      <c r="F78" s="47"/>
      <c r="G78" s="47"/>
      <c r="H78" s="47"/>
    </row>
    <row r="79" spans="2:8" x14ac:dyDescent="0.2">
      <c r="B79" s="166"/>
      <c r="D79" s="47"/>
      <c r="E79" s="47"/>
      <c r="F79" s="47"/>
      <c r="G79" s="47"/>
      <c r="H79" s="47"/>
    </row>
    <row r="80" spans="2:8" x14ac:dyDescent="0.2">
      <c r="B80" s="166"/>
      <c r="D80" s="47"/>
      <c r="E80" s="47"/>
      <c r="F80" s="47"/>
      <c r="G80" s="47"/>
      <c r="H80" s="47"/>
    </row>
    <row r="81" spans="2:8" x14ac:dyDescent="0.2">
      <c r="B81" s="166"/>
      <c r="D81" s="47"/>
      <c r="E81" s="47"/>
      <c r="F81" s="47"/>
      <c r="G81" s="47"/>
      <c r="H81" s="47"/>
    </row>
    <row r="82" spans="2:8" x14ac:dyDescent="0.2">
      <c r="B82" s="166"/>
      <c r="D82" s="47"/>
      <c r="E82" s="47"/>
      <c r="F82" s="47"/>
      <c r="G82" s="47"/>
      <c r="H82" s="47"/>
    </row>
    <row r="83" spans="2:8" x14ac:dyDescent="0.2">
      <c r="B83" s="166"/>
      <c r="D83" s="47"/>
      <c r="E83" s="47"/>
      <c r="F83" s="47"/>
      <c r="G83" s="47"/>
      <c r="H83" s="47"/>
    </row>
    <row r="84" spans="2:8" x14ac:dyDescent="0.2">
      <c r="B84" s="166"/>
      <c r="D84" s="47"/>
      <c r="E84" s="47"/>
      <c r="F84" s="47"/>
      <c r="G84" s="47"/>
      <c r="H84" s="47"/>
    </row>
    <row r="85" spans="2:8" x14ac:dyDescent="0.2">
      <c r="B85" s="166"/>
      <c r="D85" s="47"/>
      <c r="E85" s="47"/>
      <c r="F85" s="47"/>
      <c r="G85" s="47"/>
      <c r="H85" s="47"/>
    </row>
    <row r="86" spans="2:8" x14ac:dyDescent="0.2">
      <c r="B86" s="166"/>
      <c r="D86" s="47"/>
      <c r="E86" s="47"/>
      <c r="F86" s="47"/>
      <c r="G86" s="47"/>
      <c r="H86" s="47"/>
    </row>
    <row r="87" spans="2:8" x14ac:dyDescent="0.2">
      <c r="B87" s="166"/>
      <c r="D87" s="47"/>
      <c r="E87" s="47"/>
      <c r="F87" s="47"/>
      <c r="G87" s="47"/>
      <c r="H87" s="47"/>
    </row>
    <row r="88" spans="2:8" x14ac:dyDescent="0.2">
      <c r="B88" s="166"/>
      <c r="D88" s="47"/>
      <c r="E88" s="47"/>
      <c r="F88" s="47"/>
      <c r="G88" s="47"/>
      <c r="H88" s="47"/>
    </row>
    <row r="89" spans="2:8" x14ac:dyDescent="0.2">
      <c r="B89" s="166"/>
      <c r="D89" s="47"/>
      <c r="E89" s="47"/>
      <c r="F89" s="47"/>
      <c r="G89" s="47"/>
      <c r="H89" s="47"/>
    </row>
    <row r="90" spans="2:8" x14ac:dyDescent="0.2">
      <c r="B90" s="166"/>
      <c r="D90" s="47"/>
      <c r="E90" s="47"/>
      <c r="F90" s="47"/>
      <c r="G90" s="47"/>
      <c r="H90" s="47"/>
    </row>
    <row r="91" spans="2:8" x14ac:dyDescent="0.2">
      <c r="B91" s="166"/>
      <c r="D91" s="47"/>
      <c r="E91" s="47"/>
      <c r="F91" s="47"/>
      <c r="G91" s="47"/>
      <c r="H91" s="47"/>
    </row>
    <row r="92" spans="2:8" x14ac:dyDescent="0.2">
      <c r="B92" s="166"/>
      <c r="D92" s="47"/>
      <c r="E92" s="47"/>
      <c r="F92" s="47"/>
      <c r="G92" s="47"/>
      <c r="H92" s="47"/>
    </row>
    <row r="93" spans="2:8" x14ac:dyDescent="0.2">
      <c r="B93" s="166"/>
      <c r="D93" s="47"/>
      <c r="E93" s="47"/>
      <c r="F93" s="47"/>
      <c r="G93" s="47"/>
      <c r="H93" s="47"/>
    </row>
    <row r="94" spans="2:8" x14ac:dyDescent="0.2">
      <c r="B94" s="166"/>
      <c r="D94" s="47"/>
      <c r="E94" s="47"/>
      <c r="F94" s="47"/>
      <c r="G94" s="47"/>
      <c r="H94" s="47"/>
    </row>
    <row r="95" spans="2:8" x14ac:dyDescent="0.2">
      <c r="B95" s="166"/>
      <c r="D95" s="47"/>
      <c r="E95" s="47"/>
      <c r="F95" s="47"/>
      <c r="G95" s="47"/>
      <c r="H95" s="47"/>
    </row>
    <row r="96" spans="2:8" x14ac:dyDescent="0.2">
      <c r="B96" s="166"/>
      <c r="D96" s="47"/>
      <c r="E96" s="47"/>
      <c r="F96" s="47"/>
      <c r="G96" s="47"/>
      <c r="H96" s="47"/>
    </row>
    <row r="97" spans="2:8" x14ac:dyDescent="0.2">
      <c r="B97" s="166"/>
      <c r="D97" s="47"/>
      <c r="E97" s="47"/>
      <c r="F97" s="47"/>
      <c r="G97" s="47"/>
      <c r="H97" s="47"/>
    </row>
    <row r="98" spans="2:8" x14ac:dyDescent="0.2">
      <c r="B98" s="166"/>
      <c r="D98" s="47"/>
      <c r="E98" s="47"/>
      <c r="F98" s="47"/>
      <c r="G98" s="47"/>
      <c r="H98" s="47"/>
    </row>
    <row r="99" spans="2:8" x14ac:dyDescent="0.2">
      <c r="B99" s="166"/>
      <c r="D99" s="47"/>
      <c r="E99" s="47"/>
      <c r="F99" s="47"/>
      <c r="G99" s="47"/>
      <c r="H99" s="47"/>
    </row>
    <row r="100" spans="2:8" x14ac:dyDescent="0.2">
      <c r="B100" s="166"/>
      <c r="D100" s="47"/>
      <c r="E100" s="47"/>
      <c r="F100" s="47"/>
      <c r="G100" s="47"/>
      <c r="H100" s="47"/>
    </row>
    <row r="101" spans="2:8" x14ac:dyDescent="0.2">
      <c r="B101" s="166"/>
      <c r="D101" s="47"/>
      <c r="E101" s="47"/>
      <c r="F101" s="47"/>
      <c r="G101" s="47"/>
      <c r="H101" s="47"/>
    </row>
    <row r="102" spans="2:8" x14ac:dyDescent="0.2">
      <c r="B102" s="166"/>
      <c r="D102" s="47"/>
      <c r="E102" s="47"/>
      <c r="F102" s="47"/>
      <c r="G102" s="47"/>
      <c r="H102" s="47"/>
    </row>
    <row r="103" spans="2:8" x14ac:dyDescent="0.2">
      <c r="B103" s="166"/>
      <c r="D103" s="47"/>
      <c r="E103" s="47"/>
      <c r="F103" s="47"/>
      <c r="G103" s="47"/>
      <c r="H103" s="47"/>
    </row>
    <row r="104" spans="2:8" x14ac:dyDescent="0.2">
      <c r="B104" s="166"/>
      <c r="D104" s="47"/>
      <c r="E104" s="47"/>
      <c r="F104" s="47"/>
      <c r="G104" s="47"/>
      <c r="H104" s="47"/>
    </row>
    <row r="105" spans="2:8" x14ac:dyDescent="0.2">
      <c r="B105" s="166"/>
      <c r="D105" s="47"/>
      <c r="E105" s="47"/>
      <c r="F105" s="47"/>
      <c r="G105" s="47"/>
      <c r="H105" s="47"/>
    </row>
    <row r="106" spans="2:8" x14ac:dyDescent="0.2">
      <c r="B106" s="166"/>
      <c r="D106" s="47"/>
      <c r="E106" s="47"/>
      <c r="F106" s="47"/>
      <c r="G106" s="47"/>
      <c r="H106" s="47"/>
    </row>
    <row r="107" spans="2:8" x14ac:dyDescent="0.2">
      <c r="B107" s="166"/>
      <c r="D107" s="47"/>
      <c r="E107" s="47"/>
      <c r="F107" s="47"/>
      <c r="G107" s="47"/>
      <c r="H107" s="47"/>
    </row>
    <row r="108" spans="2:8" x14ac:dyDescent="0.2">
      <c r="B108" s="166"/>
      <c r="D108" s="47"/>
      <c r="E108" s="47"/>
      <c r="F108" s="47"/>
      <c r="G108" s="47"/>
      <c r="H108" s="47"/>
    </row>
    <row r="109" spans="2:8" x14ac:dyDescent="0.2">
      <c r="B109" s="166"/>
      <c r="D109" s="47"/>
      <c r="E109" s="47"/>
      <c r="F109" s="47"/>
      <c r="G109" s="47"/>
      <c r="H109" s="47"/>
    </row>
    <row r="110" spans="2:8" x14ac:dyDescent="0.2">
      <c r="B110" s="166"/>
      <c r="D110" s="47"/>
      <c r="E110" s="47"/>
      <c r="F110" s="47"/>
      <c r="G110" s="47"/>
      <c r="H110" s="47"/>
    </row>
    <row r="111" spans="2:8" x14ac:dyDescent="0.2">
      <c r="B111" s="166"/>
      <c r="D111" s="47"/>
      <c r="E111" s="47"/>
      <c r="F111" s="47"/>
      <c r="G111" s="47"/>
      <c r="H111" s="47"/>
    </row>
    <row r="112" spans="2:8" x14ac:dyDescent="0.2">
      <c r="B112" s="166"/>
      <c r="D112" s="47"/>
      <c r="E112" s="47"/>
      <c r="F112" s="47"/>
      <c r="G112" s="47"/>
      <c r="H112" s="47"/>
    </row>
    <row r="113" spans="2:8" x14ac:dyDescent="0.2">
      <c r="B113" s="166"/>
      <c r="D113" s="47"/>
      <c r="E113" s="47"/>
      <c r="F113" s="47"/>
      <c r="G113" s="47"/>
      <c r="H113" s="47"/>
    </row>
    <row r="114" spans="2:8" x14ac:dyDescent="0.2">
      <c r="B114" s="166"/>
      <c r="D114" s="47"/>
      <c r="E114" s="47"/>
      <c r="F114" s="47"/>
      <c r="G114" s="47"/>
      <c r="H114" s="47"/>
    </row>
    <row r="115" spans="2:8" x14ac:dyDescent="0.2">
      <c r="B115" s="166"/>
      <c r="D115" s="47"/>
      <c r="E115" s="47"/>
      <c r="F115" s="47"/>
      <c r="G115" s="47"/>
      <c r="H115" s="47"/>
    </row>
    <row r="116" spans="2:8" x14ac:dyDescent="0.2">
      <c r="B116" s="166"/>
      <c r="D116" s="47"/>
      <c r="E116" s="47"/>
      <c r="F116" s="47"/>
      <c r="G116" s="47"/>
      <c r="H116" s="47"/>
    </row>
    <row r="117" spans="2:8" x14ac:dyDescent="0.2">
      <c r="B117" s="166"/>
      <c r="D117" s="47"/>
      <c r="E117" s="47"/>
      <c r="F117" s="47"/>
      <c r="G117" s="47"/>
      <c r="H117" s="47"/>
    </row>
    <row r="118" spans="2:8" x14ac:dyDescent="0.2">
      <c r="B118" s="166"/>
      <c r="D118" s="47"/>
      <c r="E118" s="47"/>
      <c r="F118" s="47"/>
      <c r="G118" s="47"/>
      <c r="H118" s="47"/>
    </row>
    <row r="119" spans="2:8" x14ac:dyDescent="0.2">
      <c r="B119" s="166"/>
      <c r="D119" s="47"/>
      <c r="E119" s="47"/>
      <c r="F119" s="47"/>
      <c r="G119" s="47"/>
      <c r="H119" s="47"/>
    </row>
    <row r="120" spans="2:8" x14ac:dyDescent="0.2">
      <c r="B120" s="166"/>
      <c r="D120" s="47"/>
      <c r="E120" s="47"/>
      <c r="F120" s="47"/>
      <c r="G120" s="47"/>
      <c r="H120" s="47"/>
    </row>
    <row r="121" spans="2:8" x14ac:dyDescent="0.2">
      <c r="B121" s="166"/>
      <c r="D121" s="47"/>
      <c r="E121" s="47"/>
      <c r="F121" s="47"/>
      <c r="G121" s="47"/>
      <c r="H121" s="47"/>
    </row>
    <row r="122" spans="2:8" x14ac:dyDescent="0.2">
      <c r="B122" s="166"/>
      <c r="D122" s="47"/>
      <c r="E122" s="47"/>
      <c r="F122" s="47"/>
      <c r="G122" s="47"/>
      <c r="H122" s="47"/>
    </row>
    <row r="123" spans="2:8" x14ac:dyDescent="0.2">
      <c r="B123" s="166"/>
      <c r="D123" s="47"/>
      <c r="E123" s="47"/>
      <c r="F123" s="47"/>
      <c r="G123" s="47"/>
      <c r="H123" s="47"/>
    </row>
    <row r="124" spans="2:8" x14ac:dyDescent="0.2">
      <c r="B124" s="166"/>
      <c r="D124" s="47"/>
      <c r="E124" s="47"/>
      <c r="F124" s="47"/>
      <c r="G124" s="47"/>
      <c r="H124" s="47"/>
    </row>
    <row r="125" spans="2:8" x14ac:dyDescent="0.2">
      <c r="B125" s="166"/>
      <c r="D125" s="47"/>
      <c r="E125" s="47"/>
      <c r="F125" s="47"/>
      <c r="G125" s="47"/>
      <c r="H125" s="47"/>
    </row>
    <row r="126" spans="2:8" x14ac:dyDescent="0.2">
      <c r="B126" s="166"/>
      <c r="D126" s="47"/>
      <c r="E126" s="47"/>
      <c r="F126" s="47"/>
      <c r="G126" s="47"/>
      <c r="H126" s="47"/>
    </row>
    <row r="127" spans="2:8" x14ac:dyDescent="0.2">
      <c r="B127" s="166"/>
      <c r="D127" s="47"/>
      <c r="E127" s="47"/>
      <c r="F127" s="47"/>
      <c r="G127" s="47"/>
      <c r="H127" s="47"/>
    </row>
    <row r="128" spans="2:8" x14ac:dyDescent="0.2">
      <c r="B128" s="166"/>
      <c r="D128" s="47"/>
      <c r="E128" s="47"/>
      <c r="F128" s="47"/>
      <c r="G128" s="47"/>
      <c r="H128" s="47"/>
    </row>
    <row r="129" spans="2:8" x14ac:dyDescent="0.2">
      <c r="B129" s="166"/>
      <c r="D129" s="47"/>
      <c r="E129" s="47"/>
      <c r="F129" s="47"/>
      <c r="G129" s="47"/>
      <c r="H129" s="47"/>
    </row>
    <row r="130" spans="2:8" x14ac:dyDescent="0.2">
      <c r="B130" s="166"/>
      <c r="D130" s="47"/>
      <c r="E130" s="47"/>
      <c r="F130" s="47"/>
      <c r="G130" s="47"/>
      <c r="H130" s="47"/>
    </row>
    <row r="131" spans="2:8" x14ac:dyDescent="0.2">
      <c r="B131" s="166"/>
      <c r="D131" s="47"/>
      <c r="E131" s="47"/>
      <c r="F131" s="47"/>
      <c r="G131" s="47"/>
      <c r="H131" s="47"/>
    </row>
    <row r="132" spans="2:8" x14ac:dyDescent="0.2">
      <c r="B132" s="166"/>
      <c r="D132" s="47"/>
      <c r="E132" s="47"/>
      <c r="F132" s="47"/>
      <c r="G132" s="47"/>
      <c r="H132" s="47"/>
    </row>
    <row r="133" spans="2:8" x14ac:dyDescent="0.2">
      <c r="B133" s="166"/>
      <c r="D133" s="47"/>
      <c r="E133" s="47"/>
      <c r="F133" s="47"/>
      <c r="G133" s="47"/>
      <c r="H133" s="47"/>
    </row>
    <row r="134" spans="2:8" x14ac:dyDescent="0.2">
      <c r="B134" s="166"/>
      <c r="D134" s="47"/>
      <c r="E134" s="47"/>
      <c r="F134" s="47"/>
      <c r="G134" s="47"/>
      <c r="H134" s="47"/>
    </row>
    <row r="135" spans="2:8" x14ac:dyDescent="0.2">
      <c r="B135" s="166"/>
      <c r="D135" s="47"/>
      <c r="E135" s="47"/>
      <c r="F135" s="47"/>
      <c r="G135" s="47"/>
      <c r="H135" s="47"/>
    </row>
    <row r="136" spans="2:8" x14ac:dyDescent="0.2">
      <c r="B136" s="166"/>
      <c r="D136" s="47"/>
      <c r="E136" s="47"/>
      <c r="F136" s="47"/>
      <c r="G136" s="47"/>
      <c r="H136" s="47"/>
    </row>
    <row r="137" spans="2:8" x14ac:dyDescent="0.2">
      <c r="B137" s="166"/>
      <c r="D137" s="47"/>
      <c r="E137" s="47"/>
      <c r="F137" s="47"/>
      <c r="G137" s="47"/>
      <c r="H137" s="47"/>
    </row>
    <row r="138" spans="2:8" x14ac:dyDescent="0.2">
      <c r="B138" s="166"/>
      <c r="D138" s="47"/>
      <c r="E138" s="47"/>
      <c r="F138" s="47"/>
      <c r="G138" s="47"/>
      <c r="H138" s="47"/>
    </row>
    <row r="139" spans="2:8" x14ac:dyDescent="0.2">
      <c r="B139" s="166"/>
      <c r="D139" s="47"/>
      <c r="E139" s="47"/>
      <c r="F139" s="47"/>
      <c r="G139" s="47"/>
      <c r="H139" s="47"/>
    </row>
    <row r="140" spans="2:8" x14ac:dyDescent="0.2">
      <c r="B140" s="166"/>
      <c r="D140" s="47"/>
      <c r="E140" s="47"/>
      <c r="F140" s="47"/>
      <c r="G140" s="47"/>
      <c r="H140" s="47"/>
    </row>
    <row r="141" spans="2:8" x14ac:dyDescent="0.2">
      <c r="B141" s="166"/>
      <c r="D141" s="47"/>
      <c r="E141" s="47"/>
      <c r="F141" s="47"/>
      <c r="G141" s="47"/>
      <c r="H141" s="47"/>
    </row>
    <row r="142" spans="2:8" x14ac:dyDescent="0.2">
      <c r="B142" s="166"/>
      <c r="D142" s="47"/>
      <c r="E142" s="47"/>
      <c r="F142" s="47"/>
      <c r="G142" s="47"/>
      <c r="H142" s="47"/>
    </row>
    <row r="143" spans="2:8" x14ac:dyDescent="0.2">
      <c r="B143" s="166"/>
      <c r="D143" s="47"/>
      <c r="E143" s="47"/>
      <c r="F143" s="47"/>
      <c r="G143" s="47"/>
      <c r="H143" s="47"/>
    </row>
    <row r="144" spans="2:8" x14ac:dyDescent="0.2">
      <c r="B144" s="166"/>
      <c r="D144" s="47"/>
      <c r="E144" s="47"/>
      <c r="F144" s="47"/>
      <c r="G144" s="47"/>
      <c r="H144" s="47"/>
    </row>
    <row r="145" spans="2:8" x14ac:dyDescent="0.2">
      <c r="B145" s="166"/>
      <c r="D145" s="47"/>
      <c r="E145" s="47"/>
      <c r="F145" s="47"/>
      <c r="G145" s="47"/>
      <c r="H145" s="47"/>
    </row>
    <row r="146" spans="2:8" x14ac:dyDescent="0.2">
      <c r="B146" s="166"/>
      <c r="D146" s="47"/>
      <c r="E146" s="47"/>
      <c r="F146" s="47"/>
      <c r="G146" s="47"/>
      <c r="H146" s="47"/>
    </row>
    <row r="147" spans="2:8" x14ac:dyDescent="0.2">
      <c r="B147" s="166"/>
      <c r="D147" s="47"/>
      <c r="E147" s="47"/>
      <c r="F147" s="47"/>
      <c r="G147" s="47"/>
      <c r="H147" s="47"/>
    </row>
    <row r="148" spans="2:8" x14ac:dyDescent="0.2">
      <c r="B148" s="166"/>
      <c r="D148" s="47"/>
      <c r="E148" s="47"/>
      <c r="F148" s="47"/>
      <c r="G148" s="47"/>
      <c r="H148" s="47"/>
    </row>
    <row r="149" spans="2:8" x14ac:dyDescent="0.2">
      <c r="B149" s="166"/>
      <c r="D149" s="47"/>
      <c r="E149" s="47"/>
      <c r="F149" s="47"/>
      <c r="G149" s="47"/>
      <c r="H149" s="47"/>
    </row>
    <row r="150" spans="2:8" x14ac:dyDescent="0.2">
      <c r="B150" s="166"/>
      <c r="D150" s="47"/>
      <c r="E150" s="47"/>
      <c r="F150" s="47"/>
      <c r="G150" s="47"/>
      <c r="H150" s="47"/>
    </row>
    <row r="151" spans="2:8" x14ac:dyDescent="0.2">
      <c r="B151" s="166"/>
      <c r="D151" s="47"/>
      <c r="E151" s="47"/>
      <c r="F151" s="47"/>
      <c r="G151" s="47"/>
      <c r="H151" s="47"/>
    </row>
    <row r="152" spans="2:8" x14ac:dyDescent="0.2">
      <c r="B152" s="166"/>
      <c r="D152" s="47"/>
      <c r="E152" s="47"/>
      <c r="F152" s="47"/>
      <c r="G152" s="47"/>
      <c r="H152" s="47"/>
    </row>
    <row r="153" spans="2:8" x14ac:dyDescent="0.2">
      <c r="B153" s="166"/>
      <c r="D153" s="47"/>
      <c r="E153" s="47"/>
      <c r="F153" s="47"/>
      <c r="G153" s="47"/>
      <c r="H153" s="47"/>
    </row>
    <row r="154" spans="2:8" x14ac:dyDescent="0.2">
      <c r="B154" s="166"/>
      <c r="D154" s="47"/>
      <c r="E154" s="47"/>
      <c r="F154" s="47"/>
      <c r="G154" s="47"/>
      <c r="H154" s="47"/>
    </row>
    <row r="155" spans="2:8" x14ac:dyDescent="0.2">
      <c r="B155" s="166"/>
      <c r="D155" s="47"/>
      <c r="E155" s="47"/>
      <c r="F155" s="47"/>
      <c r="G155" s="47"/>
      <c r="H155" s="47"/>
    </row>
    <row r="156" spans="2:8" x14ac:dyDescent="0.2">
      <c r="B156" s="166"/>
      <c r="D156" s="47"/>
      <c r="E156" s="47"/>
      <c r="F156" s="47"/>
      <c r="G156" s="47"/>
      <c r="H156" s="47"/>
    </row>
    <row r="157" spans="2:8" x14ac:dyDescent="0.2">
      <c r="B157" s="166"/>
      <c r="D157" s="47"/>
      <c r="E157" s="47"/>
      <c r="F157" s="47"/>
      <c r="G157" s="47"/>
      <c r="H157" s="47"/>
    </row>
    <row r="158" spans="2:8" x14ac:dyDescent="0.2">
      <c r="B158" s="166"/>
      <c r="D158" s="47"/>
      <c r="E158" s="47"/>
      <c r="F158" s="47"/>
      <c r="G158" s="47"/>
      <c r="H158" s="47"/>
    </row>
    <row r="159" spans="2:8" x14ac:dyDescent="0.2">
      <c r="B159" s="166"/>
      <c r="D159" s="47"/>
      <c r="E159" s="47"/>
      <c r="F159" s="47"/>
      <c r="G159" s="47"/>
      <c r="H159" s="47"/>
    </row>
    <row r="160" spans="2:8" x14ac:dyDescent="0.2">
      <c r="B160" s="166"/>
      <c r="D160" s="47"/>
      <c r="E160" s="47"/>
      <c r="F160" s="47"/>
      <c r="G160" s="47"/>
      <c r="H160" s="47"/>
    </row>
    <row r="161" spans="2:8" x14ac:dyDescent="0.2">
      <c r="B161" s="166"/>
      <c r="D161" s="47"/>
      <c r="E161" s="47"/>
      <c r="F161" s="47"/>
      <c r="G161" s="47"/>
      <c r="H161" s="47"/>
    </row>
    <row r="162" spans="2:8" x14ac:dyDescent="0.2">
      <c r="B162" s="166"/>
      <c r="D162" s="47"/>
      <c r="E162" s="47"/>
      <c r="F162" s="47"/>
      <c r="G162" s="47"/>
      <c r="H162" s="47"/>
    </row>
    <row r="163" spans="2:8" x14ac:dyDescent="0.2">
      <c r="B163" s="166"/>
      <c r="D163" s="47"/>
      <c r="E163" s="47"/>
      <c r="F163" s="47"/>
      <c r="G163" s="47"/>
      <c r="H163" s="47"/>
    </row>
    <row r="164" spans="2:8" x14ac:dyDescent="0.2">
      <c r="B164" s="166"/>
      <c r="D164" s="47"/>
      <c r="E164" s="47"/>
      <c r="F164" s="47"/>
      <c r="G164" s="47"/>
      <c r="H164" s="47"/>
    </row>
    <row r="165" spans="2:8" x14ac:dyDescent="0.2">
      <c r="B165" s="166"/>
      <c r="D165" s="47"/>
      <c r="E165" s="47"/>
      <c r="F165" s="47"/>
      <c r="G165" s="47"/>
      <c r="H165" s="47"/>
    </row>
    <row r="166" spans="2:8" x14ac:dyDescent="0.2">
      <c r="B166" s="166"/>
      <c r="D166" s="47"/>
      <c r="E166" s="47"/>
      <c r="F166" s="47"/>
      <c r="G166" s="47"/>
      <c r="H166" s="47"/>
    </row>
    <row r="167" spans="2:8" x14ac:dyDescent="0.2">
      <c r="B167" s="166"/>
      <c r="D167" s="47"/>
      <c r="E167" s="47"/>
      <c r="F167" s="47"/>
      <c r="G167" s="47"/>
      <c r="H167" s="47"/>
    </row>
    <row r="168" spans="2:8" x14ac:dyDescent="0.2">
      <c r="B168" s="166"/>
      <c r="D168" s="47"/>
      <c r="E168" s="47"/>
      <c r="F168" s="47"/>
      <c r="G168" s="47"/>
      <c r="H168" s="47"/>
    </row>
    <row r="169" spans="2:8" x14ac:dyDescent="0.2">
      <c r="B169" s="166"/>
      <c r="D169" s="47"/>
      <c r="E169" s="47"/>
      <c r="F169" s="47"/>
      <c r="G169" s="47"/>
      <c r="H169" s="47"/>
    </row>
    <row r="170" spans="2:8" x14ac:dyDescent="0.2">
      <c r="B170" s="166"/>
      <c r="D170" s="47"/>
      <c r="E170" s="47"/>
      <c r="F170" s="47"/>
      <c r="G170" s="47"/>
      <c r="H170" s="47"/>
    </row>
    <row r="171" spans="2:8" x14ac:dyDescent="0.2">
      <c r="B171" s="166"/>
      <c r="D171" s="47"/>
      <c r="E171" s="47"/>
      <c r="F171" s="47"/>
      <c r="G171" s="47"/>
      <c r="H171" s="47"/>
    </row>
    <row r="172" spans="2:8" x14ac:dyDescent="0.2">
      <c r="B172" s="166"/>
      <c r="D172" s="47"/>
      <c r="E172" s="47"/>
      <c r="F172" s="47"/>
      <c r="G172" s="47"/>
      <c r="H172" s="47"/>
    </row>
    <row r="173" spans="2:8" x14ac:dyDescent="0.2">
      <c r="B173" s="166"/>
      <c r="D173" s="47"/>
      <c r="E173" s="47"/>
      <c r="F173" s="47"/>
      <c r="G173" s="47"/>
      <c r="H173" s="47"/>
    </row>
    <row r="174" spans="2:8" x14ac:dyDescent="0.2">
      <c r="B174" s="166"/>
      <c r="D174" s="47"/>
      <c r="E174" s="47"/>
      <c r="F174" s="47"/>
      <c r="G174" s="47"/>
      <c r="H174" s="47"/>
    </row>
    <row r="175" spans="2:8" x14ac:dyDescent="0.2">
      <c r="B175" s="166"/>
      <c r="D175" s="47"/>
      <c r="E175" s="47"/>
      <c r="F175" s="47"/>
      <c r="G175" s="47"/>
      <c r="H175" s="47"/>
    </row>
    <row r="176" spans="2:8" x14ac:dyDescent="0.2">
      <c r="B176" s="166"/>
      <c r="D176" s="47"/>
      <c r="E176" s="47"/>
      <c r="F176" s="47"/>
      <c r="G176" s="47"/>
      <c r="H176" s="47"/>
    </row>
    <row r="177" spans="2:8" x14ac:dyDescent="0.2">
      <c r="B177" s="166"/>
      <c r="D177" s="47"/>
      <c r="E177" s="47"/>
      <c r="F177" s="47"/>
      <c r="G177" s="47"/>
      <c r="H177" s="47"/>
    </row>
    <row r="178" spans="2:8" x14ac:dyDescent="0.2">
      <c r="B178" s="166"/>
      <c r="D178" s="47"/>
      <c r="E178" s="47"/>
      <c r="F178" s="47"/>
      <c r="G178" s="47"/>
      <c r="H178" s="47"/>
    </row>
    <row r="179" spans="2:8" x14ac:dyDescent="0.2">
      <c r="B179" s="166"/>
      <c r="D179" s="47"/>
      <c r="E179" s="47"/>
      <c r="F179" s="47"/>
      <c r="G179" s="47"/>
      <c r="H179" s="47"/>
    </row>
    <row r="180" spans="2:8" x14ac:dyDescent="0.2">
      <c r="B180" s="166"/>
      <c r="D180" s="47"/>
      <c r="E180" s="47"/>
      <c r="F180" s="47"/>
      <c r="G180" s="47"/>
      <c r="H180" s="47"/>
    </row>
    <row r="181" spans="2:8" x14ac:dyDescent="0.2">
      <c r="B181" s="166"/>
      <c r="D181" s="47"/>
      <c r="E181" s="47"/>
      <c r="F181" s="47"/>
      <c r="G181" s="47"/>
      <c r="H181" s="47"/>
    </row>
    <row r="182" spans="2:8" x14ac:dyDescent="0.2">
      <c r="B182" s="166"/>
      <c r="D182" s="47"/>
      <c r="E182" s="47"/>
      <c r="F182" s="47"/>
      <c r="G182" s="47"/>
      <c r="H182" s="47"/>
    </row>
    <row r="183" spans="2:8" x14ac:dyDescent="0.2">
      <c r="B183" s="166"/>
      <c r="D183" s="47"/>
      <c r="E183" s="47"/>
      <c r="F183" s="47"/>
      <c r="G183" s="47"/>
      <c r="H183" s="47"/>
    </row>
    <row r="184" spans="2:8" x14ac:dyDescent="0.2">
      <c r="B184" s="166"/>
      <c r="D184" s="47"/>
      <c r="E184" s="47"/>
      <c r="F184" s="47"/>
      <c r="G184" s="47"/>
      <c r="H184" s="47"/>
    </row>
    <row r="185" spans="2:8" x14ac:dyDescent="0.2">
      <c r="B185" s="166"/>
      <c r="D185" s="47"/>
      <c r="E185" s="47"/>
      <c r="F185" s="47"/>
      <c r="G185" s="47"/>
      <c r="H185" s="47"/>
    </row>
    <row r="186" spans="2:8" x14ac:dyDescent="0.2">
      <c r="B186" s="166"/>
      <c r="D186" s="47"/>
      <c r="E186" s="47"/>
      <c r="F186" s="47"/>
      <c r="G186" s="47"/>
      <c r="H186" s="47"/>
    </row>
    <row r="187" spans="2:8" x14ac:dyDescent="0.2">
      <c r="B187" s="166"/>
      <c r="D187" s="47"/>
      <c r="E187" s="47"/>
      <c r="F187" s="47"/>
      <c r="G187" s="47"/>
      <c r="H187" s="47"/>
    </row>
    <row r="188" spans="2:8" x14ac:dyDescent="0.2">
      <c r="B188" s="166"/>
      <c r="D188" s="47"/>
      <c r="E188" s="47"/>
      <c r="F188" s="47"/>
      <c r="G188" s="47"/>
      <c r="H188" s="47"/>
    </row>
    <row r="189" spans="2:8" x14ac:dyDescent="0.2">
      <c r="B189" s="166"/>
      <c r="D189" s="47"/>
      <c r="E189" s="47"/>
      <c r="F189" s="47"/>
      <c r="G189" s="47"/>
      <c r="H189" s="47"/>
    </row>
    <row r="190" spans="2:8" x14ac:dyDescent="0.2">
      <c r="B190" s="166"/>
      <c r="D190" s="47"/>
      <c r="E190" s="47"/>
      <c r="F190" s="47"/>
      <c r="G190" s="47"/>
      <c r="H190" s="47"/>
    </row>
    <row r="191" spans="2:8" x14ac:dyDescent="0.2">
      <c r="B191" s="166"/>
      <c r="D191" s="47"/>
      <c r="E191" s="47"/>
      <c r="F191" s="47"/>
      <c r="G191" s="47"/>
      <c r="H191" s="47"/>
    </row>
    <row r="192" spans="2:8" x14ac:dyDescent="0.2">
      <c r="B192" s="166"/>
      <c r="D192" s="47"/>
      <c r="E192" s="47"/>
      <c r="F192" s="47"/>
      <c r="G192" s="47"/>
      <c r="H192" s="47"/>
    </row>
    <row r="193" spans="2:8" x14ac:dyDescent="0.2">
      <c r="B193" s="166"/>
      <c r="D193" s="47"/>
      <c r="E193" s="47"/>
      <c r="F193" s="47"/>
      <c r="G193" s="47"/>
      <c r="H193" s="47"/>
    </row>
    <row r="194" spans="2:8" x14ac:dyDescent="0.2">
      <c r="B194" s="166"/>
      <c r="D194" s="47"/>
      <c r="E194" s="47"/>
      <c r="F194" s="47"/>
      <c r="G194" s="47"/>
      <c r="H194" s="47"/>
    </row>
    <row r="195" spans="2:8" x14ac:dyDescent="0.2">
      <c r="B195" s="166"/>
      <c r="D195" s="47"/>
      <c r="E195" s="47"/>
      <c r="F195" s="47"/>
      <c r="G195" s="47"/>
      <c r="H195" s="47"/>
    </row>
    <row r="196" spans="2:8" x14ac:dyDescent="0.2">
      <c r="B196" s="166"/>
      <c r="D196" s="47"/>
      <c r="E196" s="47"/>
      <c r="F196" s="47"/>
      <c r="G196" s="47"/>
      <c r="H196" s="47"/>
    </row>
    <row r="197" spans="2:8" x14ac:dyDescent="0.2">
      <c r="B197" s="166"/>
      <c r="D197" s="47"/>
      <c r="E197" s="47"/>
      <c r="F197" s="47"/>
      <c r="G197" s="47"/>
      <c r="H197" s="47"/>
    </row>
    <row r="198" spans="2:8" x14ac:dyDescent="0.2">
      <c r="B198" s="166"/>
      <c r="D198" s="47"/>
      <c r="E198" s="47"/>
      <c r="F198" s="47"/>
      <c r="G198" s="47"/>
      <c r="H198" s="47"/>
    </row>
    <row r="199" spans="2:8" x14ac:dyDescent="0.2">
      <c r="B199" s="166"/>
      <c r="D199" s="47"/>
      <c r="E199" s="47"/>
      <c r="F199" s="47"/>
      <c r="G199" s="47"/>
      <c r="H199" s="47"/>
    </row>
    <row r="200" spans="2:8" x14ac:dyDescent="0.2">
      <c r="B200" s="166"/>
      <c r="D200" s="47"/>
      <c r="E200" s="47"/>
      <c r="F200" s="47"/>
      <c r="G200" s="47"/>
      <c r="H200" s="47"/>
    </row>
    <row r="201" spans="2:8" x14ac:dyDescent="0.2">
      <c r="B201" s="166"/>
      <c r="D201" s="47"/>
      <c r="E201" s="47"/>
      <c r="F201" s="47"/>
      <c r="G201" s="47"/>
      <c r="H201" s="47"/>
    </row>
    <row r="202" spans="2:8" x14ac:dyDescent="0.2">
      <c r="B202" s="166"/>
      <c r="D202" s="47"/>
      <c r="E202" s="47"/>
      <c r="F202" s="47"/>
      <c r="G202" s="47"/>
      <c r="H202" s="47"/>
    </row>
    <row r="203" spans="2:8" x14ac:dyDescent="0.2">
      <c r="B203" s="166"/>
      <c r="D203" s="47"/>
      <c r="E203" s="47"/>
      <c r="F203" s="47"/>
      <c r="G203" s="47"/>
      <c r="H203" s="47"/>
    </row>
    <row r="204" spans="2:8" x14ac:dyDescent="0.2">
      <c r="B204" s="166"/>
      <c r="D204" s="47"/>
      <c r="E204" s="47"/>
      <c r="F204" s="47"/>
      <c r="G204" s="47"/>
      <c r="H204" s="47"/>
    </row>
    <row r="205" spans="2:8" x14ac:dyDescent="0.2">
      <c r="B205" s="166"/>
      <c r="D205" s="47"/>
      <c r="E205" s="47"/>
      <c r="F205" s="47"/>
      <c r="G205" s="47"/>
      <c r="H205" s="47"/>
    </row>
    <row r="206" spans="2:8" x14ac:dyDescent="0.2">
      <c r="B206" s="166"/>
      <c r="D206" s="47"/>
      <c r="E206" s="47"/>
      <c r="F206" s="47"/>
      <c r="G206" s="47"/>
      <c r="H206" s="47"/>
    </row>
    <row r="207" spans="2:8" x14ac:dyDescent="0.2">
      <c r="B207" s="166"/>
      <c r="D207" s="47"/>
      <c r="E207" s="47"/>
      <c r="F207" s="47"/>
      <c r="G207" s="47"/>
      <c r="H207" s="47"/>
    </row>
    <row r="208" spans="2:8" x14ac:dyDescent="0.2">
      <c r="B208" s="166"/>
      <c r="D208" s="47"/>
      <c r="E208" s="47"/>
      <c r="F208" s="47"/>
      <c r="G208" s="47"/>
      <c r="H208" s="47"/>
    </row>
    <row r="209" spans="2:8" x14ac:dyDescent="0.2">
      <c r="B209" s="166"/>
      <c r="D209" s="47"/>
      <c r="E209" s="47"/>
      <c r="F209" s="47"/>
      <c r="G209" s="47"/>
      <c r="H209" s="47"/>
    </row>
    <row r="210" spans="2:8" x14ac:dyDescent="0.2">
      <c r="B210" s="166"/>
      <c r="D210" s="47"/>
      <c r="E210" s="47"/>
      <c r="F210" s="47"/>
      <c r="G210" s="47"/>
      <c r="H210" s="47"/>
    </row>
    <row r="211" spans="2:8" x14ac:dyDescent="0.2">
      <c r="B211" s="166"/>
      <c r="D211" s="47"/>
      <c r="E211" s="47"/>
      <c r="F211" s="47"/>
      <c r="G211" s="47"/>
      <c r="H211" s="47"/>
    </row>
    <row r="212" spans="2:8" x14ac:dyDescent="0.2">
      <c r="B212" s="166"/>
      <c r="D212" s="47"/>
      <c r="E212" s="47"/>
      <c r="F212" s="47"/>
      <c r="G212" s="47"/>
      <c r="H212" s="47"/>
    </row>
    <row r="213" spans="2:8" x14ac:dyDescent="0.2">
      <c r="B213" s="166"/>
      <c r="D213" s="47"/>
      <c r="E213" s="47"/>
      <c r="F213" s="47"/>
      <c r="G213" s="47"/>
      <c r="H213" s="47"/>
    </row>
    <row r="214" spans="2:8" x14ac:dyDescent="0.2">
      <c r="B214" s="166"/>
      <c r="D214" s="47"/>
      <c r="E214" s="47"/>
      <c r="F214" s="47"/>
      <c r="G214" s="47"/>
      <c r="H214" s="47"/>
    </row>
    <row r="215" spans="2:8" x14ac:dyDescent="0.2">
      <c r="B215" s="166"/>
      <c r="D215" s="47"/>
      <c r="E215" s="47"/>
      <c r="F215" s="47"/>
      <c r="G215" s="47"/>
      <c r="H215" s="47"/>
    </row>
    <row r="216" spans="2:8" x14ac:dyDescent="0.2">
      <c r="B216" s="166"/>
      <c r="D216" s="47"/>
      <c r="E216" s="47"/>
      <c r="F216" s="47"/>
      <c r="G216" s="47"/>
      <c r="H216" s="47"/>
    </row>
    <row r="217" spans="2:8" x14ac:dyDescent="0.2">
      <c r="B217" s="166"/>
      <c r="D217" s="47"/>
      <c r="E217" s="47"/>
      <c r="F217" s="47"/>
      <c r="G217" s="47"/>
      <c r="H217" s="47"/>
    </row>
    <row r="218" spans="2:8" x14ac:dyDescent="0.2">
      <c r="B218" s="166"/>
      <c r="D218" s="47"/>
      <c r="E218" s="47"/>
      <c r="F218" s="47"/>
      <c r="G218" s="47"/>
      <c r="H218" s="47"/>
    </row>
    <row r="219" spans="2:8" x14ac:dyDescent="0.2">
      <c r="B219" s="166"/>
      <c r="D219" s="47"/>
      <c r="E219" s="47"/>
      <c r="F219" s="47"/>
      <c r="G219" s="47"/>
      <c r="H219" s="47"/>
    </row>
    <row r="220" spans="2:8" x14ac:dyDescent="0.2">
      <c r="B220" s="166"/>
      <c r="D220" s="47"/>
      <c r="E220" s="47"/>
      <c r="F220" s="47"/>
      <c r="G220" s="47"/>
      <c r="H220" s="47"/>
    </row>
    <row r="221" spans="2:8" x14ac:dyDescent="0.2">
      <c r="B221" s="166"/>
      <c r="D221" s="47"/>
      <c r="E221" s="47"/>
      <c r="F221" s="47"/>
      <c r="G221" s="47"/>
      <c r="H221" s="47"/>
    </row>
    <row r="222" spans="2:8" x14ac:dyDescent="0.2">
      <c r="B222" s="166"/>
      <c r="D222" s="47"/>
      <c r="E222" s="47"/>
      <c r="F222" s="47"/>
      <c r="G222" s="47"/>
      <c r="H222" s="47"/>
    </row>
    <row r="223" spans="2:8" x14ac:dyDescent="0.2">
      <c r="B223" s="166"/>
      <c r="D223" s="47"/>
      <c r="E223" s="47"/>
      <c r="F223" s="47"/>
      <c r="G223" s="47"/>
      <c r="H223" s="47"/>
    </row>
    <row r="224" spans="2:8" x14ac:dyDescent="0.2">
      <c r="B224" s="166"/>
      <c r="D224" s="47"/>
      <c r="E224" s="47"/>
      <c r="F224" s="47"/>
      <c r="G224" s="47"/>
      <c r="H224" s="47"/>
    </row>
    <row r="225" spans="2:8" x14ac:dyDescent="0.2">
      <c r="B225" s="166"/>
      <c r="D225" s="47"/>
      <c r="E225" s="47"/>
      <c r="F225" s="47"/>
      <c r="G225" s="47"/>
      <c r="H225" s="47"/>
    </row>
    <row r="226" spans="2:8" x14ac:dyDescent="0.2">
      <c r="B226" s="166"/>
      <c r="D226" s="47"/>
      <c r="E226" s="47"/>
      <c r="F226" s="47"/>
      <c r="G226" s="47"/>
      <c r="H226" s="47"/>
    </row>
    <row r="227" spans="2:8" x14ac:dyDescent="0.2">
      <c r="B227" s="166"/>
      <c r="D227" s="47"/>
      <c r="E227" s="47"/>
      <c r="F227" s="47"/>
      <c r="G227" s="47"/>
      <c r="H227" s="47"/>
    </row>
    <row r="228" spans="2:8" x14ac:dyDescent="0.2">
      <c r="B228" s="166"/>
      <c r="D228" s="47"/>
      <c r="E228" s="47"/>
      <c r="F228" s="47"/>
      <c r="G228" s="47"/>
      <c r="H228" s="47"/>
    </row>
    <row r="229" spans="2:8" x14ac:dyDescent="0.2">
      <c r="B229" s="166"/>
      <c r="D229" s="47"/>
      <c r="E229" s="47"/>
      <c r="F229" s="47"/>
      <c r="G229" s="47"/>
      <c r="H229" s="47"/>
    </row>
    <row r="230" spans="2:8" x14ac:dyDescent="0.2">
      <c r="B230" s="166"/>
      <c r="D230" s="47"/>
      <c r="E230" s="47"/>
      <c r="F230" s="47"/>
      <c r="G230" s="47"/>
      <c r="H230" s="47"/>
    </row>
    <row r="231" spans="2:8" x14ac:dyDescent="0.2">
      <c r="B231" s="166"/>
      <c r="D231" s="47"/>
      <c r="E231" s="47"/>
      <c r="F231" s="47"/>
      <c r="G231" s="47"/>
      <c r="H231" s="47"/>
    </row>
    <row r="232" spans="2:8" x14ac:dyDescent="0.2">
      <c r="B232" s="166"/>
      <c r="D232" s="47"/>
      <c r="E232" s="47"/>
      <c r="F232" s="47"/>
      <c r="G232" s="47"/>
      <c r="H232" s="47"/>
    </row>
    <row r="233" spans="2:8" x14ac:dyDescent="0.2">
      <c r="B233" s="166"/>
      <c r="D233" s="47"/>
      <c r="E233" s="47"/>
      <c r="F233" s="47"/>
      <c r="G233" s="47"/>
      <c r="H233" s="47"/>
    </row>
    <row r="234" spans="2:8" x14ac:dyDescent="0.2">
      <c r="B234" s="166"/>
      <c r="D234" s="47"/>
      <c r="E234" s="47"/>
      <c r="F234" s="47"/>
      <c r="G234" s="47"/>
      <c r="H234" s="47"/>
    </row>
    <row r="235" spans="2:8" x14ac:dyDescent="0.2">
      <c r="B235" s="166"/>
      <c r="D235" s="47"/>
      <c r="E235" s="47"/>
      <c r="F235" s="47"/>
      <c r="G235" s="47"/>
      <c r="H235" s="47"/>
    </row>
    <row r="236" spans="2:8" x14ac:dyDescent="0.2">
      <c r="B236" s="166"/>
      <c r="D236" s="47"/>
      <c r="E236" s="47"/>
      <c r="F236" s="47"/>
      <c r="G236" s="47"/>
      <c r="H236" s="47"/>
    </row>
    <row r="237" spans="2:8" x14ac:dyDescent="0.2">
      <c r="B237" s="166"/>
      <c r="D237" s="47"/>
      <c r="E237" s="47"/>
      <c r="F237" s="47"/>
      <c r="G237" s="47"/>
      <c r="H237" s="47"/>
    </row>
    <row r="238" spans="2:8" x14ac:dyDescent="0.2">
      <c r="B238" s="166"/>
      <c r="D238" s="47"/>
      <c r="E238" s="47"/>
      <c r="F238" s="47"/>
      <c r="G238" s="47"/>
      <c r="H238" s="47"/>
    </row>
    <row r="239" spans="2:8" x14ac:dyDescent="0.2">
      <c r="B239" s="166"/>
      <c r="D239" s="47"/>
      <c r="E239" s="47"/>
      <c r="F239" s="47"/>
      <c r="G239" s="47"/>
      <c r="H239" s="47"/>
    </row>
    <row r="240" spans="2:8" x14ac:dyDescent="0.2">
      <c r="B240" s="166"/>
      <c r="D240" s="47"/>
      <c r="E240" s="47"/>
      <c r="F240" s="47"/>
      <c r="G240" s="47"/>
      <c r="H240" s="47"/>
    </row>
    <row r="241" spans="2:8" x14ac:dyDescent="0.2">
      <c r="B241" s="166"/>
      <c r="D241" s="47"/>
      <c r="E241" s="47"/>
      <c r="F241" s="47"/>
      <c r="G241" s="47"/>
      <c r="H241" s="47"/>
    </row>
    <row r="242" spans="2:8" x14ac:dyDescent="0.2">
      <c r="B242" s="166"/>
      <c r="D242" s="47"/>
      <c r="E242" s="47"/>
      <c r="F242" s="47"/>
      <c r="G242" s="47"/>
      <c r="H242" s="47"/>
    </row>
    <row r="243" spans="2:8" x14ac:dyDescent="0.2">
      <c r="B243" s="166"/>
      <c r="D243" s="47"/>
      <c r="E243" s="47"/>
      <c r="F243" s="47"/>
      <c r="G243" s="47"/>
      <c r="H243" s="47"/>
    </row>
    <row r="244" spans="2:8" x14ac:dyDescent="0.2">
      <c r="B244" s="166"/>
      <c r="D244" s="47"/>
      <c r="E244" s="47"/>
      <c r="F244" s="47"/>
      <c r="G244" s="47"/>
      <c r="H244" s="47"/>
    </row>
    <row r="245" spans="2:8" x14ac:dyDescent="0.2">
      <c r="B245" s="166"/>
      <c r="D245" s="47"/>
      <c r="E245" s="47"/>
      <c r="F245" s="47"/>
      <c r="G245" s="47"/>
      <c r="H245" s="47"/>
    </row>
    <row r="246" spans="2:8" x14ac:dyDescent="0.2">
      <c r="B246" s="166"/>
      <c r="D246" s="47"/>
      <c r="E246" s="47"/>
      <c r="F246" s="47"/>
      <c r="G246" s="47"/>
      <c r="H246" s="47"/>
    </row>
    <row r="247" spans="2:8" x14ac:dyDescent="0.2">
      <c r="B247" s="166"/>
      <c r="D247" s="47"/>
      <c r="E247" s="47"/>
      <c r="F247" s="47"/>
      <c r="G247" s="47"/>
      <c r="H247" s="47"/>
    </row>
    <row r="248" spans="2:8" x14ac:dyDescent="0.2">
      <c r="B248" s="166"/>
      <c r="D248" s="47"/>
      <c r="E248" s="47"/>
      <c r="F248" s="47"/>
      <c r="G248" s="47"/>
      <c r="H248" s="47"/>
    </row>
    <row r="249" spans="2:8" x14ac:dyDescent="0.2">
      <c r="B249" s="166"/>
      <c r="D249" s="47"/>
      <c r="E249" s="47"/>
      <c r="F249" s="47"/>
      <c r="G249" s="47"/>
      <c r="H249" s="47"/>
    </row>
    <row r="250" spans="2:8" x14ac:dyDescent="0.2">
      <c r="B250" s="166"/>
      <c r="D250" s="47"/>
      <c r="E250" s="47"/>
      <c r="F250" s="47"/>
      <c r="G250" s="47"/>
      <c r="H250" s="47"/>
    </row>
    <row r="251" spans="2:8" x14ac:dyDescent="0.2">
      <c r="B251" s="166"/>
      <c r="D251" s="47"/>
      <c r="E251" s="47"/>
      <c r="F251" s="47"/>
      <c r="G251" s="47"/>
      <c r="H251" s="47"/>
    </row>
    <row r="252" spans="2:8" x14ac:dyDescent="0.2">
      <c r="B252" s="166"/>
      <c r="D252" s="47"/>
      <c r="E252" s="47"/>
      <c r="F252" s="47"/>
      <c r="G252" s="47"/>
      <c r="H252" s="47"/>
    </row>
    <row r="253" spans="2:8" x14ac:dyDescent="0.2">
      <c r="B253" s="166"/>
      <c r="D253" s="47"/>
      <c r="E253" s="47"/>
      <c r="F253" s="47"/>
      <c r="G253" s="47"/>
      <c r="H253" s="47"/>
    </row>
    <row r="254" spans="2:8" x14ac:dyDescent="0.2">
      <c r="B254" s="166"/>
      <c r="D254" s="47"/>
      <c r="E254" s="47"/>
      <c r="F254" s="47"/>
      <c r="G254" s="47"/>
      <c r="H254" s="47"/>
    </row>
    <row r="255" spans="2:8" x14ac:dyDescent="0.2">
      <c r="B255" s="166"/>
      <c r="D255" s="47"/>
      <c r="E255" s="47"/>
      <c r="F255" s="47"/>
      <c r="G255" s="47"/>
      <c r="H255" s="47"/>
    </row>
    <row r="256" spans="2:8" x14ac:dyDescent="0.2">
      <c r="B256" s="166"/>
      <c r="D256" s="47"/>
      <c r="E256" s="47"/>
      <c r="F256" s="47"/>
      <c r="G256" s="47"/>
      <c r="H256" s="47"/>
    </row>
    <row r="257" spans="2:8" x14ac:dyDescent="0.2">
      <c r="B257" s="166"/>
      <c r="D257" s="47"/>
      <c r="E257" s="47"/>
      <c r="F257" s="47"/>
      <c r="G257" s="47"/>
      <c r="H257" s="47"/>
    </row>
    <row r="258" spans="2:8" x14ac:dyDescent="0.2">
      <c r="B258" s="166"/>
      <c r="D258" s="47"/>
      <c r="E258" s="47"/>
      <c r="F258" s="47"/>
      <c r="G258" s="47"/>
      <c r="H258" s="47"/>
    </row>
    <row r="259" spans="2:8" x14ac:dyDescent="0.2">
      <c r="B259" s="166"/>
      <c r="D259" s="47"/>
      <c r="E259" s="47"/>
      <c r="F259" s="47"/>
      <c r="G259" s="47"/>
      <c r="H259" s="47"/>
    </row>
    <row r="260" spans="2:8" x14ac:dyDescent="0.2">
      <c r="B260" s="166"/>
      <c r="D260" s="47"/>
      <c r="E260" s="47"/>
      <c r="F260" s="47"/>
      <c r="G260" s="47"/>
      <c r="H260" s="47"/>
    </row>
    <row r="261" spans="2:8" x14ac:dyDescent="0.2">
      <c r="B261" s="166"/>
      <c r="D261" s="47"/>
      <c r="E261" s="47"/>
      <c r="F261" s="47"/>
      <c r="G261" s="47"/>
      <c r="H261" s="47"/>
    </row>
    <row r="262" spans="2:8" x14ac:dyDescent="0.2">
      <c r="B262" s="166"/>
      <c r="D262" s="47"/>
      <c r="E262" s="47"/>
      <c r="F262" s="47"/>
      <c r="G262" s="47"/>
      <c r="H262" s="47"/>
    </row>
    <row r="263" spans="2:8" x14ac:dyDescent="0.2">
      <c r="B263" s="166"/>
      <c r="D263" s="47"/>
      <c r="E263" s="47"/>
      <c r="F263" s="47"/>
      <c r="G263" s="47"/>
      <c r="H263" s="47"/>
    </row>
    <row r="264" spans="2:8" x14ac:dyDescent="0.2">
      <c r="B264" s="166"/>
      <c r="D264" s="47"/>
      <c r="E264" s="47"/>
      <c r="F264" s="47"/>
      <c r="G264" s="47"/>
      <c r="H264" s="47"/>
    </row>
    <row r="265" spans="2:8" x14ac:dyDescent="0.2">
      <c r="B265" s="166"/>
      <c r="D265" s="47"/>
      <c r="E265" s="47"/>
      <c r="F265" s="47"/>
      <c r="G265" s="47"/>
      <c r="H265" s="47"/>
    </row>
    <row r="266" spans="2:8" x14ac:dyDescent="0.2">
      <c r="B266" s="166"/>
      <c r="D266" s="47"/>
      <c r="E266" s="47"/>
      <c r="F266" s="47"/>
      <c r="G266" s="47"/>
      <c r="H266" s="47"/>
    </row>
    <row r="267" spans="2:8" x14ac:dyDescent="0.2">
      <c r="B267" s="166"/>
      <c r="D267" s="47"/>
      <c r="E267" s="47"/>
      <c r="F267" s="47"/>
      <c r="G267" s="47"/>
      <c r="H267" s="47"/>
    </row>
    <row r="268" spans="2:8" x14ac:dyDescent="0.2">
      <c r="B268" s="166"/>
      <c r="D268" s="47"/>
      <c r="E268" s="47"/>
      <c r="F268" s="47"/>
      <c r="G268" s="47"/>
      <c r="H268" s="47"/>
    </row>
    <row r="269" spans="2:8" x14ac:dyDescent="0.2">
      <c r="B269" s="166"/>
      <c r="D269" s="47"/>
      <c r="E269" s="47"/>
      <c r="F269" s="47"/>
      <c r="G269" s="47"/>
      <c r="H269" s="47"/>
    </row>
    <row r="270" spans="2:8" x14ac:dyDescent="0.2">
      <c r="B270" s="166"/>
      <c r="D270" s="47"/>
      <c r="E270" s="47"/>
      <c r="F270" s="47"/>
      <c r="G270" s="47"/>
      <c r="H270" s="47"/>
    </row>
    <row r="271" spans="2:8" x14ac:dyDescent="0.2">
      <c r="B271" s="166"/>
      <c r="D271" s="47"/>
      <c r="E271" s="47"/>
      <c r="F271" s="47"/>
      <c r="G271" s="47"/>
      <c r="H271" s="47"/>
    </row>
    <row r="272" spans="2:8" x14ac:dyDescent="0.2">
      <c r="B272" s="166"/>
      <c r="D272" s="47"/>
      <c r="E272" s="47"/>
      <c r="F272" s="47"/>
      <c r="G272" s="47"/>
      <c r="H272" s="47"/>
    </row>
    <row r="273" spans="2:8" x14ac:dyDescent="0.2">
      <c r="B273" s="166"/>
      <c r="D273" s="47"/>
      <c r="E273" s="47"/>
      <c r="F273" s="47"/>
      <c r="G273" s="47"/>
      <c r="H273" s="47"/>
    </row>
    <row r="274" spans="2:8" x14ac:dyDescent="0.2">
      <c r="B274" s="166"/>
      <c r="D274" s="47"/>
      <c r="E274" s="47"/>
      <c r="F274" s="47"/>
      <c r="G274" s="47"/>
      <c r="H274" s="47"/>
    </row>
    <row r="275" spans="2:8" x14ac:dyDescent="0.2">
      <c r="B275" s="166"/>
      <c r="D275" s="47"/>
      <c r="E275" s="47"/>
      <c r="F275" s="47"/>
      <c r="G275" s="47"/>
      <c r="H275" s="47"/>
    </row>
    <row r="276" spans="2:8" x14ac:dyDescent="0.2">
      <c r="B276" s="166"/>
      <c r="D276" s="47"/>
      <c r="E276" s="47"/>
      <c r="F276" s="47"/>
      <c r="G276" s="47"/>
      <c r="H276" s="47"/>
    </row>
    <row r="277" spans="2:8" x14ac:dyDescent="0.2">
      <c r="B277" s="166"/>
      <c r="D277" s="47"/>
      <c r="E277" s="47"/>
      <c r="F277" s="47"/>
      <c r="G277" s="47"/>
      <c r="H277" s="47"/>
    </row>
    <row r="278" spans="2:8" x14ac:dyDescent="0.2">
      <c r="B278" s="166"/>
      <c r="D278" s="47"/>
      <c r="E278" s="47"/>
      <c r="F278" s="47"/>
      <c r="G278" s="47"/>
      <c r="H278" s="47"/>
    </row>
    <row r="279" spans="2:8" x14ac:dyDescent="0.2">
      <c r="B279" s="166"/>
      <c r="D279" s="47"/>
      <c r="E279" s="47"/>
      <c r="F279" s="47"/>
      <c r="G279" s="47"/>
      <c r="H279" s="47"/>
    </row>
    <row r="280" spans="2:8" x14ac:dyDescent="0.2">
      <c r="B280" s="166"/>
      <c r="D280" s="47"/>
      <c r="E280" s="47"/>
      <c r="F280" s="47"/>
      <c r="G280" s="47"/>
      <c r="H280" s="47"/>
    </row>
    <row r="281" spans="2:8" x14ac:dyDescent="0.2">
      <c r="B281" s="166"/>
      <c r="D281" s="47"/>
      <c r="E281" s="47"/>
      <c r="F281" s="47"/>
      <c r="G281" s="47"/>
      <c r="H281" s="47"/>
    </row>
    <row r="282" spans="2:8" x14ac:dyDescent="0.2">
      <c r="B282" s="166"/>
      <c r="D282" s="47"/>
      <c r="E282" s="47"/>
      <c r="F282" s="47"/>
      <c r="G282" s="47"/>
      <c r="H282" s="47"/>
    </row>
    <row r="283" spans="2:8" x14ac:dyDescent="0.2">
      <c r="B283" s="166"/>
      <c r="D283" s="47"/>
      <c r="E283" s="47"/>
      <c r="F283" s="47"/>
      <c r="G283" s="47"/>
      <c r="H283" s="47"/>
    </row>
    <row r="284" spans="2:8" x14ac:dyDescent="0.2">
      <c r="B284" s="166"/>
      <c r="D284" s="47"/>
      <c r="E284" s="47"/>
      <c r="F284" s="47"/>
      <c r="G284" s="47"/>
      <c r="H284" s="47"/>
    </row>
    <row r="285" spans="2:8" x14ac:dyDescent="0.2">
      <c r="B285" s="166"/>
      <c r="D285" s="47"/>
      <c r="E285" s="47"/>
      <c r="F285" s="47"/>
      <c r="G285" s="47"/>
      <c r="H285" s="47"/>
    </row>
    <row r="286" spans="2:8" x14ac:dyDescent="0.2">
      <c r="B286" s="166"/>
      <c r="D286" s="47"/>
      <c r="E286" s="47"/>
      <c r="F286" s="47"/>
      <c r="G286" s="47"/>
      <c r="H286" s="47"/>
    </row>
    <row r="287" spans="2:8" x14ac:dyDescent="0.2">
      <c r="B287" s="166"/>
      <c r="D287" s="47"/>
      <c r="E287" s="47"/>
      <c r="F287" s="47"/>
      <c r="G287" s="47"/>
      <c r="H287" s="47"/>
    </row>
    <row r="288" spans="2:8" x14ac:dyDescent="0.2">
      <c r="B288" s="166"/>
      <c r="D288" s="47"/>
      <c r="E288" s="47"/>
      <c r="F288" s="47"/>
      <c r="G288" s="47"/>
      <c r="H288" s="47"/>
    </row>
    <row r="289" spans="2:8" x14ac:dyDescent="0.2">
      <c r="B289" s="166"/>
      <c r="D289" s="47"/>
      <c r="E289" s="47"/>
      <c r="F289" s="47"/>
      <c r="G289" s="47"/>
      <c r="H289" s="47"/>
    </row>
    <row r="290" spans="2:8" x14ac:dyDescent="0.2">
      <c r="B290" s="166"/>
      <c r="D290" s="47"/>
      <c r="E290" s="47"/>
      <c r="F290" s="47"/>
      <c r="G290" s="47"/>
      <c r="H290" s="47"/>
    </row>
    <row r="291" spans="2:8" x14ac:dyDescent="0.2">
      <c r="B291" s="166"/>
      <c r="D291" s="47"/>
      <c r="E291" s="47"/>
      <c r="F291" s="47"/>
      <c r="G291" s="47"/>
      <c r="H291" s="47"/>
    </row>
    <row r="292" spans="2:8" x14ac:dyDescent="0.2">
      <c r="B292" s="166"/>
      <c r="D292" s="47"/>
      <c r="E292" s="47"/>
      <c r="F292" s="47"/>
      <c r="G292" s="47"/>
      <c r="H292" s="47"/>
    </row>
    <row r="293" spans="2:8" x14ac:dyDescent="0.2">
      <c r="B293" s="166"/>
      <c r="D293" s="47"/>
      <c r="E293" s="47"/>
      <c r="F293" s="47"/>
      <c r="G293" s="47"/>
      <c r="H293" s="47"/>
    </row>
    <row r="294" spans="2:8" x14ac:dyDescent="0.2">
      <c r="B294" s="166"/>
      <c r="D294" s="47"/>
      <c r="E294" s="47"/>
      <c r="F294" s="47"/>
      <c r="G294" s="47"/>
      <c r="H294" s="47"/>
    </row>
    <row r="295" spans="2:8" x14ac:dyDescent="0.2">
      <c r="B295" s="166"/>
      <c r="D295" s="47"/>
      <c r="E295" s="47"/>
      <c r="F295" s="47"/>
      <c r="G295" s="47"/>
      <c r="H295" s="47"/>
    </row>
    <row r="296" spans="2:8" x14ac:dyDescent="0.2">
      <c r="B296" s="166"/>
      <c r="D296" s="47"/>
      <c r="E296" s="47"/>
      <c r="F296" s="47"/>
      <c r="G296" s="47"/>
      <c r="H296" s="47"/>
    </row>
    <row r="297" spans="2:8" x14ac:dyDescent="0.2">
      <c r="B297" s="166"/>
      <c r="D297" s="47"/>
      <c r="E297" s="47"/>
      <c r="F297" s="47"/>
      <c r="G297" s="47"/>
      <c r="H297" s="47"/>
    </row>
    <row r="298" spans="2:8" x14ac:dyDescent="0.2">
      <c r="B298" s="166"/>
      <c r="D298" s="47"/>
      <c r="E298" s="47"/>
      <c r="F298" s="47"/>
      <c r="G298" s="47"/>
      <c r="H298" s="47"/>
    </row>
    <row r="299" spans="2:8" x14ac:dyDescent="0.2">
      <c r="B299" s="166"/>
      <c r="D299" s="47"/>
      <c r="E299" s="47"/>
      <c r="F299" s="47"/>
      <c r="G299" s="47"/>
      <c r="H299" s="47"/>
    </row>
    <row r="300" spans="2:8" x14ac:dyDescent="0.2">
      <c r="B300" s="166"/>
      <c r="D300" s="47"/>
      <c r="E300" s="47"/>
      <c r="F300" s="47"/>
      <c r="G300" s="47"/>
      <c r="H300" s="47"/>
    </row>
    <row r="301" spans="2:8" x14ac:dyDescent="0.2">
      <c r="B301" s="166"/>
      <c r="D301" s="47"/>
      <c r="E301" s="47"/>
      <c r="F301" s="47"/>
      <c r="G301" s="47"/>
      <c r="H301" s="47"/>
    </row>
    <row r="302" spans="2:8" x14ac:dyDescent="0.2">
      <c r="B302" s="166"/>
      <c r="D302" s="47"/>
      <c r="E302" s="47"/>
      <c r="F302" s="47"/>
      <c r="G302" s="47"/>
      <c r="H302" s="47"/>
    </row>
    <row r="303" spans="2:8" x14ac:dyDescent="0.2">
      <c r="B303" s="166"/>
      <c r="D303" s="47"/>
      <c r="E303" s="47"/>
      <c r="F303" s="47"/>
      <c r="G303" s="47"/>
      <c r="H303" s="47"/>
    </row>
    <row r="304" spans="2:8" x14ac:dyDescent="0.2">
      <c r="B304" s="166"/>
      <c r="D304" s="47"/>
      <c r="E304" s="47"/>
      <c r="F304" s="47"/>
      <c r="G304" s="47"/>
      <c r="H304" s="47"/>
    </row>
    <row r="305" spans="2:8" x14ac:dyDescent="0.2">
      <c r="B305" s="166"/>
      <c r="D305" s="47"/>
      <c r="E305" s="47"/>
      <c r="F305" s="47"/>
      <c r="G305" s="47"/>
      <c r="H305" s="47"/>
    </row>
    <row r="306" spans="2:8" x14ac:dyDescent="0.2">
      <c r="B306" s="166"/>
      <c r="D306" s="47"/>
      <c r="E306" s="47"/>
      <c r="F306" s="47"/>
      <c r="G306" s="47"/>
      <c r="H306" s="47"/>
    </row>
    <row r="307" spans="2:8" x14ac:dyDescent="0.2">
      <c r="B307" s="166"/>
      <c r="D307" s="47"/>
      <c r="E307" s="47"/>
      <c r="F307" s="47"/>
      <c r="G307" s="47"/>
      <c r="H307" s="47"/>
    </row>
    <row r="308" spans="2:8" x14ac:dyDescent="0.2">
      <c r="B308" s="166"/>
      <c r="D308" s="47"/>
      <c r="E308" s="47"/>
      <c r="F308" s="47"/>
      <c r="G308" s="47"/>
      <c r="H308" s="47"/>
    </row>
    <row r="309" spans="2:8" x14ac:dyDescent="0.2">
      <c r="B309" s="166"/>
      <c r="D309" s="47"/>
      <c r="E309" s="47"/>
      <c r="F309" s="47"/>
      <c r="G309" s="47"/>
      <c r="H309" s="47"/>
    </row>
    <row r="310" spans="2:8" x14ac:dyDescent="0.2">
      <c r="B310" s="166"/>
      <c r="D310" s="47"/>
      <c r="E310" s="47"/>
      <c r="F310" s="47"/>
      <c r="G310" s="47"/>
      <c r="H310" s="47"/>
    </row>
    <row r="311" spans="2:8" x14ac:dyDescent="0.2">
      <c r="B311" s="166"/>
      <c r="D311" s="47"/>
      <c r="E311" s="47"/>
      <c r="F311" s="47"/>
      <c r="G311" s="47"/>
      <c r="H311" s="47"/>
    </row>
    <row r="312" spans="2:8" x14ac:dyDescent="0.2">
      <c r="B312" s="166"/>
      <c r="D312" s="47"/>
      <c r="E312" s="47"/>
      <c r="F312" s="47"/>
      <c r="G312" s="47"/>
      <c r="H312" s="47"/>
    </row>
    <row r="313" spans="2:8" x14ac:dyDescent="0.2">
      <c r="B313" s="166"/>
      <c r="D313" s="47"/>
      <c r="E313" s="47"/>
      <c r="F313" s="47"/>
      <c r="G313" s="47"/>
      <c r="H313" s="47"/>
    </row>
    <row r="314" spans="2:8" x14ac:dyDescent="0.2">
      <c r="B314" s="166"/>
      <c r="D314" s="47"/>
      <c r="E314" s="47"/>
      <c r="F314" s="47"/>
      <c r="G314" s="47"/>
      <c r="H314" s="47"/>
    </row>
    <row r="315" spans="2:8" x14ac:dyDescent="0.2">
      <c r="B315" s="166"/>
      <c r="D315" s="47"/>
      <c r="E315" s="47"/>
      <c r="F315" s="47"/>
      <c r="G315" s="47"/>
      <c r="H315" s="47"/>
    </row>
    <row r="316" spans="2:8" x14ac:dyDescent="0.2">
      <c r="B316" s="166"/>
      <c r="D316" s="47"/>
      <c r="E316" s="47"/>
      <c r="F316" s="47"/>
      <c r="G316" s="47"/>
      <c r="H316" s="47"/>
    </row>
    <row r="317" spans="2:8" x14ac:dyDescent="0.2">
      <c r="B317" s="166"/>
      <c r="D317" s="47"/>
      <c r="E317" s="47"/>
      <c r="F317" s="47"/>
      <c r="G317" s="47"/>
      <c r="H317" s="47"/>
    </row>
    <row r="318" spans="2:8" x14ac:dyDescent="0.2">
      <c r="B318" s="166"/>
      <c r="D318" s="47"/>
      <c r="E318" s="47"/>
      <c r="F318" s="47"/>
      <c r="G318" s="47"/>
      <c r="H318" s="47"/>
    </row>
    <row r="319" spans="2:8" x14ac:dyDescent="0.2">
      <c r="B319" s="166"/>
      <c r="D319" s="47"/>
      <c r="E319" s="47"/>
      <c r="F319" s="47"/>
      <c r="G319" s="47"/>
      <c r="H319" s="47"/>
    </row>
    <row r="320" spans="2:8" x14ac:dyDescent="0.2">
      <c r="B320" s="166"/>
      <c r="D320" s="47"/>
      <c r="E320" s="47"/>
      <c r="F320" s="47"/>
      <c r="G320" s="47"/>
      <c r="H320" s="47"/>
    </row>
    <row r="321" spans="2:8" x14ac:dyDescent="0.2">
      <c r="B321" s="166"/>
      <c r="D321" s="47"/>
      <c r="E321" s="47"/>
      <c r="F321" s="47"/>
      <c r="G321" s="47"/>
      <c r="H321" s="47"/>
    </row>
    <row r="322" spans="2:8" x14ac:dyDescent="0.2">
      <c r="B322" s="166"/>
      <c r="D322" s="47"/>
      <c r="E322" s="47"/>
      <c r="F322" s="47"/>
      <c r="G322" s="47"/>
      <c r="H322" s="47"/>
    </row>
    <row r="323" spans="2:8" x14ac:dyDescent="0.2">
      <c r="B323" s="166"/>
      <c r="D323" s="47"/>
      <c r="E323" s="47"/>
      <c r="F323" s="47"/>
      <c r="G323" s="47"/>
      <c r="H323" s="47"/>
    </row>
    <row r="324" spans="2:8" x14ac:dyDescent="0.2">
      <c r="B324" s="166"/>
      <c r="D324" s="47"/>
      <c r="E324" s="47"/>
      <c r="F324" s="47"/>
      <c r="G324" s="47"/>
      <c r="H324" s="47"/>
    </row>
    <row r="325" spans="2:8" x14ac:dyDescent="0.2">
      <c r="B325" s="166"/>
      <c r="D325" s="47"/>
      <c r="E325" s="47"/>
      <c r="F325" s="47"/>
      <c r="G325" s="47"/>
      <c r="H325" s="47"/>
    </row>
    <row r="326" spans="2:8" x14ac:dyDescent="0.2">
      <c r="B326" s="166"/>
      <c r="D326" s="47"/>
      <c r="E326" s="47"/>
      <c r="F326" s="47"/>
      <c r="G326" s="47"/>
      <c r="H326" s="47"/>
    </row>
    <row r="327" spans="2:8" x14ac:dyDescent="0.2">
      <c r="B327" s="166"/>
      <c r="D327" s="47"/>
      <c r="E327" s="47"/>
      <c r="F327" s="47"/>
      <c r="G327" s="47"/>
      <c r="H327" s="47"/>
    </row>
    <row r="328" spans="2:8" x14ac:dyDescent="0.2">
      <c r="B328" s="166"/>
      <c r="D328" s="47"/>
      <c r="E328" s="47"/>
      <c r="F328" s="47"/>
      <c r="G328" s="47"/>
      <c r="H328" s="47"/>
    </row>
    <row r="329" spans="2:8" x14ac:dyDescent="0.2">
      <c r="B329" s="166"/>
      <c r="D329" s="47"/>
      <c r="E329" s="47"/>
      <c r="F329" s="47"/>
      <c r="G329" s="47"/>
      <c r="H329" s="47"/>
    </row>
    <row r="330" spans="2:8" x14ac:dyDescent="0.2">
      <c r="B330" s="166"/>
      <c r="D330" s="47"/>
      <c r="E330" s="47"/>
      <c r="F330" s="47"/>
      <c r="G330" s="47"/>
      <c r="H330" s="47"/>
    </row>
    <row r="331" spans="2:8" x14ac:dyDescent="0.2">
      <c r="B331" s="166"/>
      <c r="D331" s="47"/>
      <c r="E331" s="47"/>
      <c r="F331" s="47"/>
      <c r="G331" s="47"/>
      <c r="H331" s="47"/>
    </row>
    <row r="332" spans="2:8" x14ac:dyDescent="0.2">
      <c r="B332" s="166"/>
      <c r="D332" s="47"/>
      <c r="E332" s="47"/>
      <c r="F332" s="47"/>
      <c r="G332" s="47"/>
      <c r="H332" s="47"/>
    </row>
    <row r="333" spans="2:8" x14ac:dyDescent="0.2">
      <c r="B333" s="166"/>
      <c r="D333" s="47"/>
      <c r="E333" s="47"/>
      <c r="F333" s="47"/>
      <c r="G333" s="47"/>
      <c r="H333" s="47"/>
    </row>
    <row r="334" spans="2:8" x14ac:dyDescent="0.2">
      <c r="B334" s="166"/>
      <c r="D334" s="47"/>
      <c r="E334" s="47"/>
      <c r="F334" s="47"/>
      <c r="G334" s="47"/>
      <c r="H334" s="47"/>
    </row>
    <row r="335" spans="2:8" x14ac:dyDescent="0.2">
      <c r="B335" s="166"/>
      <c r="D335" s="47"/>
      <c r="E335" s="47"/>
      <c r="F335" s="47"/>
      <c r="G335" s="47"/>
      <c r="H335" s="47"/>
    </row>
    <row r="336" spans="2:8" x14ac:dyDescent="0.2">
      <c r="B336" s="166"/>
      <c r="D336" s="47"/>
      <c r="E336" s="47"/>
      <c r="F336" s="47"/>
      <c r="G336" s="47"/>
      <c r="H336" s="47"/>
    </row>
    <row r="337" spans="2:8" x14ac:dyDescent="0.2">
      <c r="B337" s="166"/>
      <c r="D337" s="47"/>
      <c r="E337" s="47"/>
      <c r="F337" s="47"/>
      <c r="G337" s="47"/>
      <c r="H337" s="47"/>
    </row>
    <row r="338" spans="2:8" x14ac:dyDescent="0.2">
      <c r="B338" s="166"/>
      <c r="D338" s="47"/>
      <c r="E338" s="47"/>
      <c r="F338" s="47"/>
      <c r="G338" s="47"/>
      <c r="H338" s="47"/>
    </row>
    <row r="339" spans="2:8" x14ac:dyDescent="0.2">
      <c r="B339" s="166"/>
      <c r="D339" s="47"/>
      <c r="E339" s="47"/>
      <c r="F339" s="47"/>
      <c r="G339" s="47"/>
      <c r="H339" s="47"/>
    </row>
    <row r="340" spans="2:8" x14ac:dyDescent="0.2">
      <c r="B340" s="166"/>
      <c r="D340" s="47"/>
      <c r="E340" s="47"/>
      <c r="F340" s="47"/>
      <c r="G340" s="47"/>
      <c r="H340" s="47"/>
    </row>
    <row r="341" spans="2:8" x14ac:dyDescent="0.2">
      <c r="B341" s="166"/>
      <c r="D341" s="47"/>
      <c r="E341" s="47"/>
      <c r="F341" s="47"/>
      <c r="G341" s="47"/>
      <c r="H341" s="47"/>
    </row>
    <row r="342" spans="2:8" x14ac:dyDescent="0.2">
      <c r="B342" s="166"/>
      <c r="D342" s="47"/>
      <c r="E342" s="47"/>
      <c r="F342" s="47"/>
      <c r="G342" s="47"/>
      <c r="H342" s="47"/>
    </row>
    <row r="343" spans="2:8" x14ac:dyDescent="0.2">
      <c r="B343" s="166"/>
      <c r="D343" s="47"/>
      <c r="E343" s="47"/>
      <c r="F343" s="47"/>
      <c r="G343" s="47"/>
      <c r="H343" s="47"/>
    </row>
    <row r="344" spans="2:8" x14ac:dyDescent="0.2">
      <c r="B344" s="166"/>
      <c r="D344" s="47"/>
      <c r="E344" s="47"/>
      <c r="F344" s="47"/>
      <c r="G344" s="47"/>
      <c r="H344" s="47"/>
    </row>
    <row r="345" spans="2:8" x14ac:dyDescent="0.2">
      <c r="B345" s="166"/>
      <c r="D345" s="47"/>
      <c r="E345" s="47"/>
      <c r="F345" s="47"/>
      <c r="G345" s="47"/>
      <c r="H345" s="47"/>
    </row>
    <row r="346" spans="2:8" x14ac:dyDescent="0.2">
      <c r="B346" s="166"/>
      <c r="D346" s="47"/>
      <c r="E346" s="47"/>
      <c r="F346" s="47"/>
      <c r="G346" s="47"/>
      <c r="H346" s="47"/>
    </row>
    <row r="347" spans="2:8" x14ac:dyDescent="0.2">
      <c r="B347" s="166"/>
      <c r="D347" s="47"/>
      <c r="E347" s="47"/>
      <c r="F347" s="47"/>
      <c r="G347" s="47"/>
      <c r="H347" s="47"/>
    </row>
    <row r="348" spans="2:8" x14ac:dyDescent="0.2">
      <c r="B348" s="166"/>
      <c r="D348" s="47"/>
      <c r="E348" s="47"/>
      <c r="F348" s="47"/>
      <c r="G348" s="47"/>
      <c r="H348" s="47"/>
    </row>
    <row r="349" spans="2:8" x14ac:dyDescent="0.2">
      <c r="B349" s="166"/>
      <c r="D349" s="47"/>
      <c r="E349" s="47"/>
      <c r="F349" s="47"/>
      <c r="G349" s="47"/>
      <c r="H349" s="47"/>
    </row>
    <row r="350" spans="2:8" x14ac:dyDescent="0.2">
      <c r="B350" s="166"/>
      <c r="D350" s="47"/>
      <c r="E350" s="47"/>
      <c r="F350" s="47"/>
      <c r="G350" s="47"/>
      <c r="H350" s="47"/>
    </row>
    <row r="351" spans="2:8" x14ac:dyDescent="0.2">
      <c r="B351" s="166"/>
      <c r="D351" s="47"/>
      <c r="E351" s="47"/>
      <c r="F351" s="47"/>
      <c r="G351" s="47"/>
      <c r="H351" s="47"/>
    </row>
    <row r="352" spans="2:8" x14ac:dyDescent="0.2">
      <c r="B352" s="166"/>
      <c r="D352" s="47"/>
      <c r="E352" s="47"/>
      <c r="F352" s="47"/>
      <c r="G352" s="47"/>
      <c r="H352" s="47"/>
    </row>
    <row r="353" spans="2:8" x14ac:dyDescent="0.2">
      <c r="B353" s="166"/>
      <c r="D353" s="47"/>
      <c r="E353" s="47"/>
      <c r="F353" s="47"/>
      <c r="G353" s="47"/>
      <c r="H353" s="47"/>
    </row>
    <row r="354" spans="2:8" x14ac:dyDescent="0.2">
      <c r="B354" s="166"/>
      <c r="D354" s="47"/>
      <c r="E354" s="47"/>
      <c r="F354" s="47"/>
      <c r="G354" s="47"/>
      <c r="H354" s="47"/>
    </row>
    <row r="355" spans="2:8" x14ac:dyDescent="0.2">
      <c r="B355" s="166"/>
      <c r="D355" s="47"/>
      <c r="E355" s="47"/>
      <c r="F355" s="47"/>
      <c r="G355" s="47"/>
      <c r="H355" s="47"/>
    </row>
    <row r="356" spans="2:8" x14ac:dyDescent="0.2">
      <c r="B356" s="166"/>
      <c r="D356" s="47"/>
      <c r="E356" s="47"/>
      <c r="F356" s="47"/>
      <c r="G356" s="47"/>
      <c r="H356" s="47"/>
    </row>
    <row r="357" spans="2:8" x14ac:dyDescent="0.2">
      <c r="B357" s="166"/>
      <c r="D357" s="47"/>
      <c r="E357" s="47"/>
      <c r="F357" s="47"/>
      <c r="G357" s="47"/>
      <c r="H357" s="47"/>
    </row>
    <row r="358" spans="2:8" x14ac:dyDescent="0.2">
      <c r="B358" s="166"/>
      <c r="D358" s="47"/>
      <c r="E358" s="47"/>
      <c r="F358" s="47"/>
      <c r="G358" s="47"/>
      <c r="H358" s="47"/>
    </row>
    <row r="359" spans="2:8" x14ac:dyDescent="0.2">
      <c r="B359" s="166"/>
      <c r="D359" s="47"/>
      <c r="E359" s="47"/>
      <c r="F359" s="47"/>
      <c r="G359" s="47"/>
      <c r="H359" s="47"/>
    </row>
    <row r="360" spans="2:8" x14ac:dyDescent="0.2">
      <c r="B360" s="166"/>
      <c r="D360" s="47"/>
      <c r="E360" s="47"/>
      <c r="F360" s="47"/>
      <c r="G360" s="47"/>
      <c r="H360" s="47"/>
    </row>
    <row r="361" spans="2:8" x14ac:dyDescent="0.2">
      <c r="B361" s="166"/>
      <c r="D361" s="47"/>
      <c r="E361" s="47"/>
      <c r="F361" s="47"/>
      <c r="G361" s="47"/>
      <c r="H361" s="47"/>
    </row>
    <row r="362" spans="2:8" x14ac:dyDescent="0.2">
      <c r="B362" s="166"/>
      <c r="D362" s="47"/>
      <c r="E362" s="47"/>
      <c r="F362" s="47"/>
      <c r="G362" s="47"/>
      <c r="H362" s="47"/>
    </row>
    <row r="363" spans="2:8" x14ac:dyDescent="0.2">
      <c r="B363" s="166"/>
      <c r="D363" s="47"/>
      <c r="E363" s="47"/>
      <c r="F363" s="47"/>
      <c r="G363" s="47"/>
      <c r="H363" s="47"/>
    </row>
    <row r="364" spans="2:8" x14ac:dyDescent="0.2">
      <c r="B364" s="166"/>
      <c r="D364" s="47"/>
      <c r="E364" s="47"/>
      <c r="F364" s="47"/>
      <c r="G364" s="47"/>
      <c r="H364" s="47"/>
    </row>
    <row r="365" spans="2:8" x14ac:dyDescent="0.2">
      <c r="B365" s="166"/>
      <c r="D365" s="47"/>
      <c r="E365" s="47"/>
      <c r="F365" s="47"/>
      <c r="G365" s="47"/>
      <c r="H365" s="47"/>
    </row>
    <row r="366" spans="2:8" x14ac:dyDescent="0.2">
      <c r="B366" s="166"/>
      <c r="D366" s="47"/>
      <c r="E366" s="47"/>
      <c r="F366" s="47"/>
      <c r="G366" s="47"/>
      <c r="H366" s="47"/>
    </row>
    <row r="367" spans="2:8" x14ac:dyDescent="0.2">
      <c r="B367" s="166"/>
      <c r="D367" s="47"/>
      <c r="E367" s="47"/>
      <c r="F367" s="47"/>
      <c r="G367" s="47"/>
      <c r="H367" s="47"/>
    </row>
    <row r="368" spans="2:8" x14ac:dyDescent="0.2">
      <c r="B368" s="166"/>
      <c r="D368" s="47"/>
      <c r="E368" s="47"/>
      <c r="F368" s="47"/>
      <c r="G368" s="47"/>
      <c r="H368" s="47"/>
    </row>
    <row r="369" spans="2:8" x14ac:dyDescent="0.2">
      <c r="B369" s="166"/>
      <c r="D369" s="47"/>
      <c r="E369" s="47"/>
      <c r="F369" s="47"/>
      <c r="G369" s="47"/>
      <c r="H369" s="47"/>
    </row>
    <row r="370" spans="2:8" x14ac:dyDescent="0.2">
      <c r="B370" s="166"/>
      <c r="D370" s="47"/>
      <c r="E370" s="47"/>
      <c r="F370" s="47"/>
      <c r="G370" s="47"/>
      <c r="H370" s="47"/>
    </row>
    <row r="371" spans="2:8" x14ac:dyDescent="0.2">
      <c r="B371" s="166"/>
      <c r="D371" s="47"/>
      <c r="E371" s="47"/>
      <c r="F371" s="47"/>
      <c r="G371" s="47"/>
      <c r="H371" s="47"/>
    </row>
    <row r="372" spans="2:8" x14ac:dyDescent="0.2">
      <c r="B372" s="166"/>
      <c r="D372" s="47"/>
      <c r="E372" s="47"/>
      <c r="F372" s="47"/>
      <c r="G372" s="47"/>
      <c r="H372" s="47"/>
    </row>
    <row r="373" spans="2:8" x14ac:dyDescent="0.2">
      <c r="B373" s="166"/>
      <c r="D373" s="47"/>
      <c r="E373" s="47"/>
      <c r="F373" s="47"/>
      <c r="G373" s="47"/>
      <c r="H373" s="47"/>
    </row>
    <row r="374" spans="2:8" x14ac:dyDescent="0.2">
      <c r="B374" s="166"/>
      <c r="D374" s="47"/>
      <c r="E374" s="47"/>
      <c r="F374" s="47"/>
      <c r="G374" s="47"/>
      <c r="H374" s="47"/>
    </row>
    <row r="375" spans="2:8" x14ac:dyDescent="0.2">
      <c r="B375" s="166"/>
      <c r="D375" s="47"/>
      <c r="E375" s="47"/>
      <c r="F375" s="47"/>
      <c r="G375" s="47"/>
      <c r="H375" s="47"/>
    </row>
    <row r="376" spans="2:8" x14ac:dyDescent="0.2">
      <c r="B376" s="166"/>
      <c r="D376" s="47"/>
      <c r="E376" s="47"/>
      <c r="F376" s="47"/>
      <c r="G376" s="47"/>
      <c r="H376" s="47"/>
    </row>
    <row r="377" spans="2:8" x14ac:dyDescent="0.2">
      <c r="B377" s="166"/>
      <c r="D377" s="47"/>
      <c r="E377" s="47"/>
      <c r="F377" s="47"/>
      <c r="G377" s="47"/>
      <c r="H377" s="47"/>
    </row>
    <row r="378" spans="2:8" x14ac:dyDescent="0.2">
      <c r="B378" s="166"/>
      <c r="D378" s="47"/>
      <c r="E378" s="47"/>
      <c r="F378" s="47"/>
      <c r="G378" s="47"/>
      <c r="H378" s="47"/>
    </row>
    <row r="379" spans="2:8" x14ac:dyDescent="0.2">
      <c r="B379" s="166"/>
      <c r="D379" s="47"/>
      <c r="E379" s="47"/>
      <c r="F379" s="47"/>
      <c r="G379" s="47"/>
      <c r="H379" s="47"/>
    </row>
    <row r="380" spans="2:8" x14ac:dyDescent="0.2">
      <c r="B380" s="166"/>
      <c r="D380" s="47"/>
      <c r="E380" s="47"/>
      <c r="F380" s="47"/>
      <c r="G380" s="47"/>
      <c r="H380" s="47"/>
    </row>
    <row r="381" spans="2:8" x14ac:dyDescent="0.2">
      <c r="B381" s="166"/>
      <c r="D381" s="47"/>
      <c r="E381" s="47"/>
      <c r="F381" s="47"/>
      <c r="G381" s="47"/>
      <c r="H381" s="47"/>
    </row>
    <row r="382" spans="2:8" x14ac:dyDescent="0.2">
      <c r="B382" s="166"/>
      <c r="D382" s="47"/>
      <c r="E382" s="47"/>
      <c r="F382" s="47"/>
      <c r="G382" s="47"/>
      <c r="H382" s="47"/>
    </row>
    <row r="383" spans="2:8" x14ac:dyDescent="0.2">
      <c r="B383" s="166"/>
      <c r="D383" s="47"/>
      <c r="E383" s="47"/>
      <c r="F383" s="47"/>
      <c r="G383" s="47"/>
      <c r="H383" s="47"/>
    </row>
    <row r="384" spans="2:8" x14ac:dyDescent="0.2">
      <c r="B384" s="166"/>
      <c r="D384" s="47"/>
      <c r="E384" s="47"/>
      <c r="F384" s="47"/>
      <c r="G384" s="47"/>
      <c r="H384" s="47"/>
    </row>
    <row r="385" spans="2:8" x14ac:dyDescent="0.2">
      <c r="B385" s="166"/>
      <c r="D385" s="47"/>
      <c r="E385" s="47"/>
      <c r="F385" s="47"/>
      <c r="G385" s="47"/>
      <c r="H385" s="47"/>
    </row>
    <row r="386" spans="2:8" x14ac:dyDescent="0.2">
      <c r="B386" s="166"/>
      <c r="D386" s="47"/>
      <c r="E386" s="47"/>
      <c r="F386" s="47"/>
      <c r="G386" s="47"/>
      <c r="H386" s="47"/>
    </row>
    <row r="387" spans="2:8" x14ac:dyDescent="0.2">
      <c r="B387" s="166"/>
      <c r="D387" s="47"/>
      <c r="E387" s="47"/>
      <c r="F387" s="47"/>
      <c r="G387" s="47"/>
      <c r="H387" s="47"/>
    </row>
    <row r="388" spans="2:8" x14ac:dyDescent="0.2">
      <c r="B388" s="166"/>
      <c r="D388" s="47"/>
      <c r="E388" s="47"/>
      <c r="F388" s="47"/>
      <c r="G388" s="47"/>
      <c r="H388" s="47"/>
    </row>
    <row r="389" spans="2:8" x14ac:dyDescent="0.2">
      <c r="B389" s="166"/>
      <c r="D389" s="47"/>
      <c r="E389" s="47"/>
      <c r="F389" s="47"/>
      <c r="G389" s="47"/>
      <c r="H389" s="47"/>
    </row>
    <row r="390" spans="2:8" x14ac:dyDescent="0.2">
      <c r="B390" s="166"/>
      <c r="D390" s="47"/>
      <c r="E390" s="47"/>
      <c r="F390" s="47"/>
      <c r="G390" s="47"/>
      <c r="H390" s="47"/>
    </row>
    <row r="391" spans="2:8" x14ac:dyDescent="0.2">
      <c r="B391" s="166"/>
      <c r="D391" s="47"/>
      <c r="E391" s="47"/>
      <c r="F391" s="47"/>
      <c r="G391" s="47"/>
      <c r="H391" s="47"/>
    </row>
    <row r="392" spans="2:8" x14ac:dyDescent="0.2">
      <c r="B392" s="166"/>
      <c r="D392" s="47"/>
      <c r="E392" s="47"/>
      <c r="F392" s="47"/>
      <c r="G392" s="47"/>
      <c r="H392" s="47"/>
    </row>
    <row r="393" spans="2:8" x14ac:dyDescent="0.2">
      <c r="B393" s="166"/>
      <c r="D393" s="47"/>
      <c r="E393" s="47"/>
      <c r="F393" s="47"/>
      <c r="G393" s="47"/>
      <c r="H393" s="47"/>
    </row>
    <row r="394" spans="2:8" x14ac:dyDescent="0.2">
      <c r="B394" s="166"/>
      <c r="D394" s="47"/>
      <c r="E394" s="47"/>
      <c r="F394" s="47"/>
      <c r="G394" s="47"/>
      <c r="H394" s="47"/>
    </row>
    <row r="395" spans="2:8" x14ac:dyDescent="0.2">
      <c r="B395" s="166"/>
      <c r="D395" s="47"/>
      <c r="E395" s="47"/>
      <c r="F395" s="47"/>
      <c r="G395" s="47"/>
      <c r="H395" s="47"/>
    </row>
    <row r="396" spans="2:8" x14ac:dyDescent="0.2">
      <c r="B396" s="166"/>
      <c r="D396" s="47"/>
      <c r="E396" s="47"/>
      <c r="F396" s="47"/>
      <c r="G396" s="47"/>
      <c r="H396" s="47"/>
    </row>
    <row r="397" spans="2:8" x14ac:dyDescent="0.2">
      <c r="B397" s="166"/>
      <c r="D397" s="47"/>
      <c r="E397" s="47"/>
      <c r="F397" s="47"/>
      <c r="G397" s="47"/>
      <c r="H397" s="47"/>
    </row>
    <row r="398" spans="2:8" x14ac:dyDescent="0.2">
      <c r="B398" s="166"/>
      <c r="D398" s="47"/>
      <c r="E398" s="47"/>
      <c r="F398" s="47"/>
      <c r="G398" s="47"/>
      <c r="H398" s="47"/>
    </row>
    <row r="399" spans="2:8" x14ac:dyDescent="0.2">
      <c r="B399" s="166"/>
      <c r="D399" s="47"/>
      <c r="E399" s="47"/>
      <c r="F399" s="47"/>
      <c r="G399" s="47"/>
      <c r="H399" s="47"/>
    </row>
    <row r="400" spans="2:8" x14ac:dyDescent="0.2">
      <c r="B400" s="166"/>
      <c r="D400" s="47"/>
      <c r="E400" s="47"/>
      <c r="F400" s="47"/>
      <c r="G400" s="47"/>
      <c r="H400" s="47"/>
    </row>
    <row r="401" spans="2:8" x14ac:dyDescent="0.2">
      <c r="B401" s="166"/>
      <c r="D401" s="47"/>
      <c r="E401" s="47"/>
      <c r="F401" s="47"/>
      <c r="G401" s="47"/>
      <c r="H401" s="47"/>
    </row>
    <row r="402" spans="2:8" x14ac:dyDescent="0.2">
      <c r="B402" s="166"/>
      <c r="D402" s="47"/>
      <c r="E402" s="47"/>
      <c r="F402" s="47"/>
      <c r="G402" s="47"/>
      <c r="H402" s="47"/>
    </row>
    <row r="403" spans="2:8" x14ac:dyDescent="0.2">
      <c r="B403" s="166"/>
      <c r="D403" s="47"/>
      <c r="E403" s="47"/>
      <c r="F403" s="47"/>
      <c r="G403" s="47"/>
      <c r="H403" s="47"/>
    </row>
    <row r="404" spans="2:8" x14ac:dyDescent="0.2">
      <c r="B404" s="166"/>
      <c r="D404" s="47"/>
      <c r="E404" s="47"/>
      <c r="F404" s="47"/>
      <c r="G404" s="47"/>
      <c r="H404" s="47"/>
    </row>
    <row r="405" spans="2:8" x14ac:dyDescent="0.2">
      <c r="B405" s="166"/>
      <c r="D405" s="47"/>
      <c r="E405" s="47"/>
      <c r="F405" s="47"/>
      <c r="G405" s="47"/>
      <c r="H405" s="47"/>
    </row>
    <row r="406" spans="2:8" x14ac:dyDescent="0.2">
      <c r="B406" s="166"/>
      <c r="D406" s="47"/>
      <c r="E406" s="47"/>
      <c r="F406" s="47"/>
      <c r="G406" s="47"/>
      <c r="H406" s="47"/>
    </row>
    <row r="407" spans="2:8" x14ac:dyDescent="0.2">
      <c r="B407" s="166"/>
      <c r="D407" s="47"/>
      <c r="E407" s="47"/>
      <c r="F407" s="47"/>
      <c r="G407" s="47"/>
      <c r="H407" s="47"/>
    </row>
    <row r="408" spans="2:8" x14ac:dyDescent="0.2">
      <c r="B408" s="166"/>
      <c r="D408" s="47"/>
      <c r="E408" s="47"/>
      <c r="F408" s="47"/>
      <c r="G408" s="47"/>
      <c r="H408" s="47"/>
    </row>
    <row r="409" spans="2:8" x14ac:dyDescent="0.2">
      <c r="B409" s="166"/>
      <c r="D409" s="47"/>
      <c r="E409" s="47"/>
      <c r="F409" s="47"/>
      <c r="G409" s="47"/>
      <c r="H409" s="47"/>
    </row>
    <row r="410" spans="2:8" x14ac:dyDescent="0.2">
      <c r="B410" s="166"/>
      <c r="D410" s="47"/>
      <c r="E410" s="47"/>
      <c r="F410" s="47"/>
      <c r="G410" s="47"/>
      <c r="H410" s="47"/>
    </row>
    <row r="411" spans="2:8" x14ac:dyDescent="0.2">
      <c r="B411" s="166"/>
      <c r="D411" s="47"/>
      <c r="E411" s="47"/>
      <c r="F411" s="47"/>
      <c r="G411" s="47"/>
      <c r="H411" s="47"/>
    </row>
    <row r="412" spans="2:8" x14ac:dyDescent="0.2">
      <c r="B412" s="166"/>
      <c r="D412" s="47"/>
      <c r="E412" s="47"/>
      <c r="F412" s="47"/>
      <c r="G412" s="47"/>
      <c r="H412" s="47"/>
    </row>
    <row r="413" spans="2:8" x14ac:dyDescent="0.2">
      <c r="B413" s="166"/>
      <c r="D413" s="47"/>
      <c r="E413" s="47"/>
      <c r="F413" s="47"/>
      <c r="G413" s="47"/>
      <c r="H413" s="47"/>
    </row>
    <row r="414" spans="2:8" x14ac:dyDescent="0.2">
      <c r="B414" s="166"/>
      <c r="D414" s="47"/>
      <c r="E414" s="47"/>
      <c r="F414" s="47"/>
      <c r="G414" s="47"/>
      <c r="H414" s="47"/>
    </row>
    <row r="415" spans="2:8" x14ac:dyDescent="0.2">
      <c r="B415" s="166"/>
      <c r="D415" s="47"/>
      <c r="E415" s="47"/>
      <c r="F415" s="47"/>
      <c r="G415" s="47"/>
      <c r="H415" s="47"/>
    </row>
    <row r="416" spans="2:8" x14ac:dyDescent="0.2">
      <c r="B416" s="166"/>
      <c r="D416" s="47"/>
      <c r="E416" s="47"/>
      <c r="F416" s="47"/>
      <c r="G416" s="47"/>
      <c r="H416" s="47"/>
    </row>
    <row r="417" spans="2:8" x14ac:dyDescent="0.2">
      <c r="B417" s="166"/>
      <c r="D417" s="47"/>
      <c r="E417" s="47"/>
      <c r="F417" s="47"/>
      <c r="G417" s="47"/>
      <c r="H417" s="47"/>
    </row>
    <row r="418" spans="2:8" x14ac:dyDescent="0.2">
      <c r="B418" s="166"/>
      <c r="D418" s="47"/>
      <c r="E418" s="47"/>
      <c r="F418" s="47"/>
      <c r="G418" s="47"/>
      <c r="H418" s="47"/>
    </row>
    <row r="419" spans="2:8" x14ac:dyDescent="0.2">
      <c r="B419" s="166"/>
      <c r="D419" s="47"/>
      <c r="E419" s="47"/>
      <c r="F419" s="47"/>
      <c r="G419" s="47"/>
      <c r="H419" s="47"/>
    </row>
    <row r="420" spans="2:8" x14ac:dyDescent="0.2">
      <c r="B420" s="166"/>
      <c r="D420" s="47"/>
      <c r="E420" s="47"/>
      <c r="F420" s="47"/>
      <c r="G420" s="47"/>
      <c r="H420" s="47"/>
    </row>
    <row r="421" spans="2:8" x14ac:dyDescent="0.2">
      <c r="B421" s="166"/>
      <c r="D421" s="47"/>
      <c r="E421" s="47"/>
      <c r="F421" s="47"/>
      <c r="G421" s="47"/>
      <c r="H421" s="47"/>
    </row>
    <row r="422" spans="2:8" x14ac:dyDescent="0.2">
      <c r="B422" s="166"/>
      <c r="D422" s="47"/>
      <c r="E422" s="47"/>
      <c r="F422" s="47"/>
      <c r="G422" s="47"/>
      <c r="H422" s="47"/>
    </row>
    <row r="423" spans="2:8" x14ac:dyDescent="0.2">
      <c r="B423" s="166"/>
      <c r="D423" s="47"/>
      <c r="E423" s="47"/>
      <c r="F423" s="47"/>
      <c r="G423" s="47"/>
      <c r="H423" s="47"/>
    </row>
    <row r="424" spans="2:8" x14ac:dyDescent="0.2">
      <c r="B424" s="166"/>
      <c r="D424" s="47"/>
      <c r="E424" s="47"/>
      <c r="F424" s="47"/>
      <c r="G424" s="47"/>
      <c r="H424" s="47"/>
    </row>
    <row r="425" spans="2:8" x14ac:dyDescent="0.2">
      <c r="B425" s="166"/>
      <c r="D425" s="47"/>
      <c r="E425" s="47"/>
      <c r="F425" s="47"/>
      <c r="G425" s="47"/>
      <c r="H425" s="47"/>
    </row>
    <row r="426" spans="2:8" x14ac:dyDescent="0.2">
      <c r="B426" s="166"/>
      <c r="D426" s="47"/>
      <c r="E426" s="47"/>
      <c r="F426" s="47"/>
      <c r="G426" s="47"/>
      <c r="H426" s="47"/>
    </row>
    <row r="427" spans="2:8" x14ac:dyDescent="0.2">
      <c r="B427" s="166"/>
      <c r="D427" s="47"/>
      <c r="E427" s="47"/>
      <c r="F427" s="47"/>
      <c r="G427" s="47"/>
      <c r="H427" s="47"/>
    </row>
    <row r="428" spans="2:8" x14ac:dyDescent="0.2">
      <c r="B428" s="166"/>
      <c r="D428" s="47"/>
      <c r="E428" s="47"/>
      <c r="F428" s="47"/>
      <c r="G428" s="47"/>
      <c r="H428" s="47"/>
    </row>
    <row r="429" spans="2:8" x14ac:dyDescent="0.2">
      <c r="B429" s="166"/>
      <c r="D429" s="47"/>
      <c r="E429" s="47"/>
      <c r="F429" s="47"/>
      <c r="G429" s="47"/>
      <c r="H429" s="47"/>
    </row>
    <row r="430" spans="2:8" x14ac:dyDescent="0.2">
      <c r="B430" s="166"/>
      <c r="D430" s="47"/>
      <c r="E430" s="47"/>
      <c r="F430" s="47"/>
      <c r="G430" s="47"/>
      <c r="H430" s="47"/>
    </row>
    <row r="431" spans="2:8" x14ac:dyDescent="0.2">
      <c r="B431" s="166"/>
      <c r="D431" s="47"/>
      <c r="E431" s="47"/>
      <c r="F431" s="47"/>
      <c r="G431" s="47"/>
      <c r="H431" s="47"/>
    </row>
    <row r="432" spans="2:8" x14ac:dyDescent="0.2">
      <c r="B432" s="166"/>
      <c r="D432" s="47"/>
      <c r="E432" s="47"/>
      <c r="F432" s="47"/>
      <c r="G432" s="47"/>
      <c r="H432" s="47"/>
    </row>
    <row r="433" spans="2:8" x14ac:dyDescent="0.2">
      <c r="B433" s="166"/>
      <c r="D433" s="47"/>
      <c r="E433" s="47"/>
      <c r="F433" s="47"/>
      <c r="G433" s="47"/>
      <c r="H433" s="47"/>
    </row>
    <row r="434" spans="2:8" x14ac:dyDescent="0.2">
      <c r="B434" s="166"/>
      <c r="D434" s="47"/>
      <c r="E434" s="47"/>
      <c r="F434" s="47"/>
      <c r="G434" s="47"/>
      <c r="H434" s="47"/>
    </row>
    <row r="435" spans="2:8" x14ac:dyDescent="0.2">
      <c r="B435" s="166"/>
      <c r="D435" s="47"/>
      <c r="E435" s="47"/>
      <c r="F435" s="47"/>
      <c r="G435" s="47"/>
      <c r="H435" s="47"/>
    </row>
    <row r="436" spans="2:8" x14ac:dyDescent="0.2">
      <c r="B436" s="166"/>
      <c r="D436" s="47"/>
      <c r="E436" s="47"/>
      <c r="F436" s="47"/>
      <c r="G436" s="47"/>
      <c r="H436" s="47"/>
    </row>
    <row r="437" spans="2:8" x14ac:dyDescent="0.2">
      <c r="B437" s="166"/>
      <c r="D437" s="47"/>
      <c r="E437" s="47"/>
      <c r="F437" s="47"/>
      <c r="G437" s="47"/>
      <c r="H437" s="47"/>
    </row>
    <row r="438" spans="2:8" x14ac:dyDescent="0.2">
      <c r="B438" s="166"/>
      <c r="D438" s="47"/>
      <c r="E438" s="47"/>
      <c r="F438" s="47"/>
      <c r="G438" s="47"/>
      <c r="H438" s="47"/>
    </row>
    <row r="439" spans="2:8" x14ac:dyDescent="0.2">
      <c r="B439" s="166"/>
      <c r="D439" s="47"/>
      <c r="E439" s="47"/>
      <c r="F439" s="47"/>
      <c r="G439" s="47"/>
      <c r="H439" s="47"/>
    </row>
    <row r="440" spans="2:8" x14ac:dyDescent="0.2">
      <c r="B440" s="166"/>
      <c r="D440" s="47"/>
      <c r="E440" s="47"/>
      <c r="F440" s="47"/>
      <c r="G440" s="47"/>
      <c r="H440" s="47"/>
    </row>
    <row r="441" spans="2:8" x14ac:dyDescent="0.2">
      <c r="B441" s="166"/>
      <c r="D441" s="47"/>
      <c r="E441" s="47"/>
      <c r="F441" s="47"/>
      <c r="G441" s="47"/>
      <c r="H441" s="47"/>
    </row>
    <row r="442" spans="2:8" x14ac:dyDescent="0.2">
      <c r="B442" s="166"/>
      <c r="D442" s="47"/>
      <c r="E442" s="47"/>
      <c r="F442" s="47"/>
      <c r="G442" s="47"/>
      <c r="H442" s="47"/>
    </row>
    <row r="443" spans="2:8" x14ac:dyDescent="0.2">
      <c r="B443" s="166"/>
      <c r="D443" s="47"/>
      <c r="E443" s="47"/>
      <c r="F443" s="47"/>
      <c r="G443" s="47"/>
      <c r="H443" s="47"/>
    </row>
    <row r="444" spans="2:8" x14ac:dyDescent="0.2">
      <c r="B444" s="166"/>
      <c r="D444" s="47"/>
      <c r="E444" s="47"/>
      <c r="F444" s="47"/>
      <c r="G444" s="47"/>
      <c r="H444" s="47"/>
    </row>
    <row r="445" spans="2:8" x14ac:dyDescent="0.2">
      <c r="B445" s="166"/>
      <c r="D445" s="47"/>
      <c r="E445" s="47"/>
      <c r="F445" s="47"/>
      <c r="G445" s="47"/>
      <c r="H445" s="47"/>
    </row>
    <row r="446" spans="2:8" x14ac:dyDescent="0.2">
      <c r="B446" s="166"/>
      <c r="D446" s="47"/>
      <c r="E446" s="47"/>
      <c r="F446" s="47"/>
      <c r="G446" s="47"/>
      <c r="H446" s="47"/>
    </row>
    <row r="447" spans="2:8" x14ac:dyDescent="0.2">
      <c r="B447" s="166"/>
      <c r="D447" s="47"/>
      <c r="E447" s="47"/>
      <c r="F447" s="47"/>
      <c r="G447" s="47"/>
      <c r="H447" s="47"/>
    </row>
    <row r="448" spans="2:8" x14ac:dyDescent="0.2">
      <c r="B448" s="166"/>
      <c r="D448" s="47"/>
      <c r="E448" s="47"/>
      <c r="F448" s="47"/>
      <c r="G448" s="47"/>
      <c r="H448" s="47"/>
    </row>
    <row r="449" spans="2:8" x14ac:dyDescent="0.2">
      <c r="B449" s="166"/>
      <c r="D449" s="47"/>
      <c r="E449" s="47"/>
      <c r="F449" s="47"/>
      <c r="G449" s="47"/>
      <c r="H449" s="47"/>
    </row>
    <row r="450" spans="2:8" x14ac:dyDescent="0.2">
      <c r="B450" s="166"/>
      <c r="D450" s="47"/>
      <c r="E450" s="47"/>
      <c r="F450" s="47"/>
      <c r="G450" s="47"/>
      <c r="H450" s="47"/>
    </row>
    <row r="451" spans="2:8" x14ac:dyDescent="0.2">
      <c r="B451" s="166"/>
      <c r="D451" s="47"/>
      <c r="E451" s="47"/>
      <c r="F451" s="47"/>
      <c r="G451" s="47"/>
      <c r="H451" s="47"/>
    </row>
    <row r="452" spans="2:8" x14ac:dyDescent="0.2">
      <c r="B452" s="166"/>
      <c r="D452" s="47"/>
      <c r="E452" s="47"/>
      <c r="F452" s="47"/>
      <c r="G452" s="47"/>
      <c r="H452" s="47"/>
    </row>
    <row r="453" spans="2:8" x14ac:dyDescent="0.2">
      <c r="B453" s="166"/>
      <c r="D453" s="47"/>
      <c r="E453" s="47"/>
      <c r="F453" s="47"/>
      <c r="G453" s="47"/>
      <c r="H453" s="47"/>
    </row>
    <row r="454" spans="2:8" x14ac:dyDescent="0.2">
      <c r="B454" s="166"/>
      <c r="D454" s="47"/>
      <c r="E454" s="47"/>
      <c r="F454" s="47"/>
      <c r="G454" s="47"/>
      <c r="H454" s="47"/>
    </row>
    <row r="455" spans="2:8" x14ac:dyDescent="0.2">
      <c r="B455" s="166"/>
      <c r="D455" s="47"/>
      <c r="E455" s="47"/>
      <c r="F455" s="47"/>
      <c r="G455" s="47"/>
      <c r="H455" s="47"/>
    </row>
    <row r="456" spans="2:8" x14ac:dyDescent="0.2">
      <c r="B456" s="166"/>
      <c r="D456" s="47"/>
      <c r="E456" s="47"/>
      <c r="F456" s="47"/>
      <c r="G456" s="47"/>
      <c r="H456" s="47"/>
    </row>
    <row r="457" spans="2:8" x14ac:dyDescent="0.2">
      <c r="B457" s="166"/>
      <c r="D457" s="47"/>
      <c r="E457" s="47"/>
      <c r="F457" s="47"/>
      <c r="G457" s="47"/>
      <c r="H457" s="47"/>
    </row>
    <row r="458" spans="2:8" x14ac:dyDescent="0.2">
      <c r="B458" s="166"/>
      <c r="D458" s="47"/>
      <c r="E458" s="47"/>
      <c r="F458" s="47"/>
      <c r="G458" s="47"/>
      <c r="H458" s="47"/>
    </row>
    <row r="459" spans="2:8" x14ac:dyDescent="0.2">
      <c r="B459" s="166"/>
      <c r="D459" s="47"/>
      <c r="E459" s="47"/>
      <c r="F459" s="47"/>
      <c r="G459" s="47"/>
      <c r="H459" s="47"/>
    </row>
    <row r="460" spans="2:8" x14ac:dyDescent="0.2">
      <c r="B460" s="166"/>
      <c r="D460" s="47"/>
      <c r="E460" s="47"/>
      <c r="F460" s="47"/>
      <c r="G460" s="47"/>
      <c r="H460" s="47"/>
    </row>
    <row r="461" spans="2:8" x14ac:dyDescent="0.2">
      <c r="B461" s="166"/>
      <c r="D461" s="47"/>
      <c r="E461" s="47"/>
      <c r="F461" s="47"/>
      <c r="G461" s="47"/>
      <c r="H461" s="47"/>
    </row>
    <row r="462" spans="2:8" x14ac:dyDescent="0.2">
      <c r="B462" s="166"/>
      <c r="D462" s="47"/>
      <c r="E462" s="47"/>
      <c r="F462" s="47"/>
      <c r="G462" s="47"/>
      <c r="H462" s="47"/>
    </row>
    <row r="463" spans="2:8" x14ac:dyDescent="0.2">
      <c r="B463" s="166"/>
      <c r="D463" s="47"/>
      <c r="E463" s="47"/>
      <c r="F463" s="47"/>
      <c r="G463" s="47"/>
      <c r="H463" s="47"/>
    </row>
    <row r="464" spans="2:8" x14ac:dyDescent="0.2">
      <c r="B464" s="166"/>
      <c r="D464" s="47"/>
      <c r="E464" s="47"/>
      <c r="F464" s="47"/>
      <c r="G464" s="47"/>
      <c r="H464" s="47"/>
    </row>
    <row r="465" spans="2:8" x14ac:dyDescent="0.2">
      <c r="B465" s="166"/>
      <c r="D465" s="47"/>
      <c r="E465" s="47"/>
      <c r="F465" s="47"/>
      <c r="G465" s="47"/>
      <c r="H465" s="47"/>
    </row>
    <row r="466" spans="2:8" x14ac:dyDescent="0.2">
      <c r="B466" s="166"/>
      <c r="D466" s="47"/>
      <c r="E466" s="47"/>
      <c r="F466" s="47"/>
      <c r="G466" s="47"/>
      <c r="H466" s="47"/>
    </row>
    <row r="467" spans="2:8" x14ac:dyDescent="0.2">
      <c r="B467" s="166"/>
      <c r="D467" s="47"/>
      <c r="E467" s="47"/>
      <c r="F467" s="47"/>
      <c r="G467" s="47"/>
      <c r="H467" s="47"/>
    </row>
    <row r="468" spans="2:8" x14ac:dyDescent="0.2">
      <c r="B468" s="166"/>
      <c r="D468" s="47"/>
      <c r="E468" s="47"/>
      <c r="F468" s="47"/>
      <c r="G468" s="47"/>
      <c r="H468" s="47"/>
    </row>
    <row r="469" spans="2:8" x14ac:dyDescent="0.2">
      <c r="B469" s="166"/>
      <c r="D469" s="47"/>
      <c r="E469" s="47"/>
      <c r="F469" s="47"/>
      <c r="G469" s="47"/>
      <c r="H469" s="47"/>
    </row>
    <row r="470" spans="2:8" x14ac:dyDescent="0.2">
      <c r="B470" s="166"/>
      <c r="D470" s="47"/>
      <c r="E470" s="47"/>
      <c r="F470" s="47"/>
      <c r="G470" s="47"/>
      <c r="H470" s="47"/>
    </row>
    <row r="471" spans="2:8" x14ac:dyDescent="0.2">
      <c r="B471" s="166"/>
      <c r="D471" s="47"/>
      <c r="E471" s="47"/>
      <c r="F471" s="47"/>
      <c r="G471" s="47"/>
      <c r="H471" s="47"/>
    </row>
    <row r="472" spans="2:8" x14ac:dyDescent="0.2">
      <c r="B472" s="166"/>
      <c r="D472" s="47"/>
      <c r="E472" s="47"/>
      <c r="F472" s="47"/>
      <c r="G472" s="47"/>
      <c r="H472" s="47"/>
    </row>
    <row r="473" spans="2:8" x14ac:dyDescent="0.2">
      <c r="B473" s="166"/>
      <c r="D473" s="47"/>
      <c r="E473" s="47"/>
      <c r="F473" s="47"/>
      <c r="G473" s="47"/>
      <c r="H473" s="47"/>
    </row>
    <row r="474" spans="2:8" x14ac:dyDescent="0.2">
      <c r="B474" s="166"/>
      <c r="D474" s="47"/>
      <c r="E474" s="47"/>
      <c r="F474" s="47"/>
      <c r="G474" s="47"/>
      <c r="H474" s="47"/>
    </row>
    <row r="475" spans="2:8" x14ac:dyDescent="0.2">
      <c r="B475" s="166"/>
      <c r="D475" s="47"/>
      <c r="E475" s="47"/>
      <c r="F475" s="47"/>
      <c r="G475" s="47"/>
      <c r="H475" s="47"/>
    </row>
    <row r="476" spans="2:8" x14ac:dyDescent="0.2">
      <c r="B476" s="166"/>
      <c r="D476" s="47"/>
      <c r="E476" s="47"/>
      <c r="F476" s="47"/>
      <c r="G476" s="47"/>
      <c r="H476" s="47"/>
    </row>
    <row r="477" spans="2:8" x14ac:dyDescent="0.2">
      <c r="B477" s="166"/>
      <c r="D477" s="47"/>
      <c r="E477" s="47"/>
      <c r="F477" s="47"/>
      <c r="G477" s="47"/>
      <c r="H477" s="47"/>
    </row>
    <row r="478" spans="2:8" x14ac:dyDescent="0.2">
      <c r="B478" s="166"/>
      <c r="D478" s="47"/>
      <c r="E478" s="47"/>
      <c r="F478" s="47"/>
      <c r="G478" s="47"/>
      <c r="H478" s="47"/>
    </row>
    <row r="479" spans="2:8" x14ac:dyDescent="0.2">
      <c r="B479" s="166"/>
      <c r="D479" s="47"/>
      <c r="E479" s="47"/>
      <c r="F479" s="47"/>
      <c r="G479" s="47"/>
      <c r="H479" s="47"/>
    </row>
    <row r="480" spans="2:8" x14ac:dyDescent="0.2">
      <c r="B480" s="166"/>
      <c r="D480" s="47"/>
      <c r="E480" s="47"/>
      <c r="F480" s="47"/>
      <c r="G480" s="47"/>
      <c r="H480" s="47"/>
    </row>
    <row r="481" spans="2:8" x14ac:dyDescent="0.2">
      <c r="B481" s="166"/>
      <c r="D481" s="47"/>
      <c r="E481" s="47"/>
      <c r="F481" s="47"/>
      <c r="G481" s="47"/>
      <c r="H481" s="47"/>
    </row>
    <row r="482" spans="2:8" x14ac:dyDescent="0.2">
      <c r="B482" s="166"/>
      <c r="D482" s="47"/>
      <c r="E482" s="47"/>
      <c r="F482" s="47"/>
      <c r="G482" s="47"/>
      <c r="H482" s="47"/>
    </row>
    <row r="483" spans="2:8" x14ac:dyDescent="0.2">
      <c r="B483" s="166"/>
      <c r="D483" s="47"/>
      <c r="E483" s="47"/>
      <c r="F483" s="47"/>
      <c r="G483" s="47"/>
      <c r="H483" s="47"/>
    </row>
    <row r="484" spans="2:8" x14ac:dyDescent="0.2">
      <c r="B484" s="166"/>
      <c r="D484" s="47"/>
      <c r="E484" s="47"/>
      <c r="F484" s="47"/>
      <c r="G484" s="47"/>
      <c r="H484" s="47"/>
    </row>
    <row r="485" spans="2:8" x14ac:dyDescent="0.2">
      <c r="B485" s="166"/>
      <c r="D485" s="47"/>
      <c r="E485" s="47"/>
      <c r="F485" s="47"/>
      <c r="G485" s="47"/>
      <c r="H485" s="47"/>
    </row>
    <row r="486" spans="2:8" x14ac:dyDescent="0.2">
      <c r="B486" s="166"/>
      <c r="D486" s="47"/>
      <c r="E486" s="47"/>
      <c r="F486" s="47"/>
      <c r="G486" s="47"/>
      <c r="H486" s="47"/>
    </row>
    <row r="487" spans="2:8" x14ac:dyDescent="0.2">
      <c r="B487" s="166"/>
      <c r="D487" s="47"/>
      <c r="E487" s="47"/>
      <c r="F487" s="47"/>
      <c r="G487" s="47"/>
      <c r="H487" s="47"/>
    </row>
    <row r="488" spans="2:8" x14ac:dyDescent="0.2">
      <c r="B488" s="166"/>
      <c r="D488" s="47"/>
      <c r="E488" s="47"/>
      <c r="F488" s="47"/>
      <c r="G488" s="47"/>
      <c r="H488" s="47"/>
    </row>
    <row r="489" spans="2:8" x14ac:dyDescent="0.2">
      <c r="B489" s="166"/>
      <c r="D489" s="47"/>
      <c r="E489" s="47"/>
      <c r="F489" s="47"/>
      <c r="G489" s="47"/>
      <c r="H489" s="47"/>
    </row>
    <row r="490" spans="2:8" x14ac:dyDescent="0.2">
      <c r="B490" s="166"/>
      <c r="D490" s="47"/>
      <c r="E490" s="47"/>
      <c r="F490" s="47"/>
      <c r="G490" s="47"/>
      <c r="H490" s="47"/>
    </row>
    <row r="491" spans="2:8" x14ac:dyDescent="0.2">
      <c r="B491" s="166"/>
      <c r="D491" s="47"/>
      <c r="E491" s="47"/>
      <c r="F491" s="47"/>
      <c r="G491" s="47"/>
      <c r="H491" s="47"/>
    </row>
    <row r="492" spans="2:8" x14ac:dyDescent="0.2">
      <c r="B492" s="166"/>
      <c r="D492" s="47"/>
      <c r="E492" s="47"/>
      <c r="F492" s="47"/>
      <c r="G492" s="47"/>
      <c r="H492" s="47"/>
    </row>
    <row r="493" spans="2:8" x14ac:dyDescent="0.2">
      <c r="B493" s="166"/>
      <c r="D493" s="47"/>
      <c r="E493" s="47"/>
      <c r="F493" s="47"/>
      <c r="G493" s="47"/>
      <c r="H493" s="47"/>
    </row>
    <row r="494" spans="2:8" x14ac:dyDescent="0.2">
      <c r="B494" s="166"/>
      <c r="D494" s="47"/>
      <c r="E494" s="47"/>
      <c r="F494" s="47"/>
      <c r="G494" s="47"/>
      <c r="H494" s="47"/>
    </row>
    <row r="495" spans="2:8" x14ac:dyDescent="0.2">
      <c r="B495" s="166"/>
      <c r="D495" s="47"/>
      <c r="E495" s="47"/>
      <c r="F495" s="47"/>
      <c r="G495" s="47"/>
      <c r="H495" s="47"/>
    </row>
    <row r="496" spans="2:8" x14ac:dyDescent="0.2">
      <c r="B496" s="166"/>
      <c r="D496" s="47"/>
      <c r="E496" s="47"/>
      <c r="F496" s="47"/>
      <c r="G496" s="47"/>
      <c r="H496" s="47"/>
    </row>
    <row r="497" spans="2:8" x14ac:dyDescent="0.2">
      <c r="B497" s="166"/>
      <c r="D497" s="47"/>
      <c r="E497" s="47"/>
      <c r="F497" s="47"/>
      <c r="G497" s="47"/>
      <c r="H497" s="47"/>
    </row>
    <row r="498" spans="2:8" x14ac:dyDescent="0.2">
      <c r="B498" s="166"/>
      <c r="D498" s="47"/>
      <c r="E498" s="47"/>
      <c r="F498" s="47"/>
      <c r="G498" s="47"/>
      <c r="H498" s="47"/>
    </row>
    <row r="499" spans="2:8" x14ac:dyDescent="0.2">
      <c r="B499" s="166"/>
      <c r="D499" s="47"/>
      <c r="E499" s="47"/>
      <c r="F499" s="47"/>
      <c r="G499" s="47"/>
      <c r="H499" s="47"/>
    </row>
    <row r="500" spans="2:8" x14ac:dyDescent="0.2">
      <c r="B500" s="166"/>
      <c r="D500" s="47"/>
      <c r="E500" s="47"/>
      <c r="F500" s="47"/>
      <c r="G500" s="47"/>
      <c r="H500" s="47"/>
    </row>
    <row r="501" spans="2:8" x14ac:dyDescent="0.2">
      <c r="B501" s="166"/>
      <c r="D501" s="47"/>
      <c r="E501" s="47"/>
      <c r="F501" s="47"/>
      <c r="G501" s="47"/>
      <c r="H501" s="47"/>
    </row>
    <row r="502" spans="2:8" x14ac:dyDescent="0.2">
      <c r="B502" s="166"/>
      <c r="D502" s="47"/>
      <c r="E502" s="47"/>
      <c r="F502" s="47"/>
      <c r="G502" s="47"/>
      <c r="H502" s="47"/>
    </row>
    <row r="503" spans="2:8" x14ac:dyDescent="0.2">
      <c r="B503" s="166"/>
      <c r="D503" s="47"/>
      <c r="E503" s="47"/>
      <c r="F503" s="47"/>
      <c r="G503" s="47"/>
      <c r="H503" s="47"/>
    </row>
    <row r="504" spans="2:8" x14ac:dyDescent="0.2">
      <c r="B504" s="166"/>
      <c r="D504" s="47"/>
      <c r="E504" s="47"/>
      <c r="F504" s="47"/>
      <c r="G504" s="47"/>
      <c r="H504" s="47"/>
    </row>
    <row r="505" spans="2:8" x14ac:dyDescent="0.2">
      <c r="B505" s="166"/>
      <c r="D505" s="47"/>
      <c r="E505" s="47"/>
      <c r="F505" s="47"/>
      <c r="G505" s="47"/>
      <c r="H505" s="47"/>
    </row>
    <row r="506" spans="2:8" x14ac:dyDescent="0.2">
      <c r="B506" s="166"/>
      <c r="D506" s="47"/>
      <c r="E506" s="47"/>
      <c r="F506" s="47"/>
      <c r="G506" s="47"/>
      <c r="H506" s="47"/>
    </row>
    <row r="507" spans="2:8" x14ac:dyDescent="0.2">
      <c r="B507" s="166"/>
      <c r="D507" s="47"/>
      <c r="E507" s="47"/>
      <c r="F507" s="47"/>
      <c r="G507" s="47"/>
      <c r="H507" s="47"/>
    </row>
    <row r="508" spans="2:8" x14ac:dyDescent="0.2">
      <c r="B508" s="166"/>
      <c r="D508" s="47"/>
      <c r="E508" s="47"/>
      <c r="F508" s="47"/>
      <c r="G508" s="47"/>
      <c r="H508" s="47"/>
    </row>
    <row r="509" spans="2:8" x14ac:dyDescent="0.2">
      <c r="B509" s="166"/>
      <c r="D509" s="47"/>
      <c r="E509" s="47"/>
      <c r="F509" s="47"/>
      <c r="G509" s="47"/>
      <c r="H509" s="47"/>
    </row>
    <row r="510" spans="2:8" x14ac:dyDescent="0.2">
      <c r="B510" s="166"/>
      <c r="D510" s="47"/>
      <c r="E510" s="47"/>
      <c r="F510" s="47"/>
      <c r="G510" s="47"/>
      <c r="H510" s="47"/>
    </row>
    <row r="511" spans="2:8" x14ac:dyDescent="0.2">
      <c r="B511" s="166"/>
      <c r="D511" s="47"/>
      <c r="E511" s="47"/>
      <c r="F511" s="47"/>
      <c r="G511" s="47"/>
      <c r="H511" s="47"/>
    </row>
    <row r="512" spans="2:8" x14ac:dyDescent="0.2">
      <c r="B512" s="166"/>
      <c r="D512" s="47"/>
      <c r="E512" s="47"/>
      <c r="F512" s="47"/>
      <c r="G512" s="47"/>
      <c r="H512" s="47"/>
    </row>
    <row r="513" spans="2:8" x14ac:dyDescent="0.2">
      <c r="B513" s="166"/>
      <c r="D513" s="47"/>
      <c r="E513" s="47"/>
      <c r="F513" s="47"/>
      <c r="G513" s="47"/>
      <c r="H513" s="47"/>
    </row>
    <row r="514" spans="2:8" x14ac:dyDescent="0.2">
      <c r="B514" s="166"/>
      <c r="D514" s="47"/>
      <c r="E514" s="47"/>
      <c r="F514" s="47"/>
      <c r="G514" s="47"/>
      <c r="H514" s="47"/>
    </row>
    <row r="515" spans="2:8" x14ac:dyDescent="0.2">
      <c r="B515" s="166"/>
      <c r="D515" s="47"/>
      <c r="E515" s="47"/>
      <c r="F515" s="47"/>
      <c r="G515" s="47"/>
      <c r="H515" s="47"/>
    </row>
    <row r="516" spans="2:8" x14ac:dyDescent="0.2">
      <c r="B516" s="166"/>
      <c r="D516" s="47"/>
      <c r="E516" s="47"/>
      <c r="F516" s="47"/>
      <c r="G516" s="47"/>
      <c r="H516" s="47"/>
    </row>
    <row r="517" spans="2:8" x14ac:dyDescent="0.2">
      <c r="B517" s="166"/>
      <c r="D517" s="47"/>
      <c r="E517" s="47"/>
      <c r="F517" s="47"/>
      <c r="G517" s="47"/>
      <c r="H517" s="47"/>
    </row>
    <row r="518" spans="2:8" x14ac:dyDescent="0.2">
      <c r="B518" s="166"/>
      <c r="D518" s="47"/>
      <c r="E518" s="47"/>
      <c r="F518" s="47"/>
      <c r="G518" s="47"/>
      <c r="H518" s="47"/>
    </row>
    <row r="519" spans="2:8" x14ac:dyDescent="0.2">
      <c r="B519" s="166"/>
      <c r="D519" s="47"/>
      <c r="E519" s="47"/>
      <c r="F519" s="47"/>
      <c r="G519" s="47"/>
      <c r="H519" s="47"/>
    </row>
    <row r="520" spans="2:8" x14ac:dyDescent="0.2">
      <c r="B520" s="166"/>
      <c r="D520" s="47"/>
      <c r="E520" s="47"/>
      <c r="F520" s="47"/>
      <c r="G520" s="47"/>
      <c r="H520" s="47"/>
    </row>
    <row r="521" spans="2:8" x14ac:dyDescent="0.2">
      <c r="B521" s="166"/>
      <c r="D521" s="47"/>
      <c r="E521" s="47"/>
      <c r="F521" s="47"/>
      <c r="G521" s="47"/>
      <c r="H521" s="47"/>
    </row>
    <row r="522" spans="2:8" x14ac:dyDescent="0.2">
      <c r="B522" s="166"/>
      <c r="D522" s="47"/>
      <c r="E522" s="47"/>
      <c r="F522" s="47"/>
      <c r="G522" s="47"/>
      <c r="H522" s="47"/>
    </row>
    <row r="523" spans="2:8" x14ac:dyDescent="0.2">
      <c r="B523" s="166"/>
      <c r="D523" s="47"/>
      <c r="E523" s="47"/>
      <c r="F523" s="47"/>
      <c r="G523" s="47"/>
      <c r="H523" s="47"/>
    </row>
    <row r="524" spans="2:8" x14ac:dyDescent="0.2">
      <c r="B524" s="166"/>
      <c r="D524" s="47"/>
      <c r="E524" s="47"/>
      <c r="F524" s="47"/>
      <c r="G524" s="47"/>
      <c r="H524" s="47"/>
    </row>
    <row r="525" spans="2:8" x14ac:dyDescent="0.2">
      <c r="B525" s="166"/>
      <c r="D525" s="47"/>
      <c r="E525" s="47"/>
      <c r="F525" s="47"/>
      <c r="G525" s="47"/>
      <c r="H525" s="47"/>
    </row>
    <row r="526" spans="2:8" x14ac:dyDescent="0.2">
      <c r="B526" s="166"/>
      <c r="D526" s="47"/>
      <c r="E526" s="47"/>
      <c r="F526" s="47"/>
      <c r="G526" s="47"/>
      <c r="H526" s="47"/>
    </row>
    <row r="527" spans="2:8" x14ac:dyDescent="0.2">
      <c r="B527" s="166"/>
      <c r="D527" s="47"/>
      <c r="E527" s="47"/>
      <c r="F527" s="47"/>
      <c r="G527" s="47"/>
      <c r="H527" s="47"/>
    </row>
    <row r="528" spans="2:8" x14ac:dyDescent="0.2">
      <c r="B528" s="166"/>
      <c r="D528" s="47"/>
      <c r="E528" s="47"/>
      <c r="F528" s="47"/>
      <c r="G528" s="47"/>
      <c r="H528" s="47"/>
    </row>
    <row r="529" spans="2:8" x14ac:dyDescent="0.2">
      <c r="B529" s="166"/>
      <c r="D529" s="47"/>
      <c r="E529" s="47"/>
      <c r="F529" s="47"/>
      <c r="G529" s="47"/>
      <c r="H529" s="47"/>
    </row>
    <row r="530" spans="2:8" x14ac:dyDescent="0.2">
      <c r="B530" s="166"/>
      <c r="D530" s="47"/>
      <c r="E530" s="47"/>
      <c r="F530" s="47"/>
      <c r="G530" s="47"/>
      <c r="H530" s="47"/>
    </row>
    <row r="531" spans="2:8" x14ac:dyDescent="0.2">
      <c r="B531" s="166"/>
      <c r="D531" s="47"/>
      <c r="E531" s="47"/>
      <c r="F531" s="47"/>
      <c r="G531" s="47"/>
      <c r="H531" s="47"/>
    </row>
    <row r="532" spans="2:8" x14ac:dyDescent="0.2">
      <c r="B532" s="166"/>
      <c r="D532" s="47"/>
      <c r="E532" s="47"/>
      <c r="F532" s="47"/>
      <c r="G532" s="47"/>
      <c r="H532" s="47"/>
    </row>
    <row r="533" spans="2:8" x14ac:dyDescent="0.2">
      <c r="B533" s="166"/>
      <c r="D533" s="47"/>
      <c r="E533" s="47"/>
      <c r="F533" s="47"/>
      <c r="G533" s="47"/>
      <c r="H533" s="47"/>
    </row>
    <row r="534" spans="2:8" x14ac:dyDescent="0.2">
      <c r="B534" s="166"/>
      <c r="D534" s="47"/>
      <c r="E534" s="47"/>
      <c r="F534" s="47"/>
      <c r="G534" s="47"/>
      <c r="H534" s="47"/>
    </row>
    <row r="535" spans="2:8" x14ac:dyDescent="0.2">
      <c r="B535" s="166"/>
      <c r="D535" s="47"/>
      <c r="E535" s="47"/>
      <c r="F535" s="47"/>
      <c r="G535" s="47"/>
      <c r="H535" s="47"/>
    </row>
    <row r="536" spans="2:8" x14ac:dyDescent="0.2">
      <c r="B536" s="166"/>
      <c r="D536" s="47"/>
      <c r="E536" s="47"/>
      <c r="F536" s="47"/>
      <c r="G536" s="47"/>
      <c r="H536" s="47"/>
    </row>
    <row r="537" spans="2:8" x14ac:dyDescent="0.2">
      <c r="B537" s="166"/>
      <c r="D537" s="47"/>
      <c r="E537" s="47"/>
      <c r="F537" s="47"/>
      <c r="G537" s="47"/>
      <c r="H537" s="47"/>
    </row>
    <row r="538" spans="2:8" x14ac:dyDescent="0.2">
      <c r="B538" s="166"/>
      <c r="D538" s="47"/>
      <c r="E538" s="47"/>
      <c r="F538" s="47"/>
      <c r="G538" s="47"/>
      <c r="H538" s="47"/>
    </row>
    <row r="539" spans="2:8" x14ac:dyDescent="0.2">
      <c r="B539" s="166"/>
      <c r="D539" s="47"/>
      <c r="E539" s="47"/>
      <c r="F539" s="47"/>
      <c r="G539" s="47"/>
      <c r="H539" s="47"/>
    </row>
    <row r="540" spans="2:8" x14ac:dyDescent="0.2">
      <c r="B540" s="166"/>
      <c r="D540" s="47"/>
      <c r="E540" s="47"/>
      <c r="F540" s="47"/>
      <c r="G540" s="47"/>
      <c r="H540" s="47"/>
    </row>
    <row r="541" spans="2:8" x14ac:dyDescent="0.2">
      <c r="B541" s="166"/>
      <c r="D541" s="47"/>
      <c r="E541" s="47"/>
      <c r="F541" s="47"/>
      <c r="G541" s="47"/>
      <c r="H541" s="47"/>
    </row>
    <row r="542" spans="2:8" x14ac:dyDescent="0.2">
      <c r="B542" s="166"/>
      <c r="D542" s="47"/>
      <c r="E542" s="47"/>
      <c r="F542" s="47"/>
      <c r="G542" s="47"/>
      <c r="H542" s="47"/>
    </row>
    <row r="543" spans="2:8" x14ac:dyDescent="0.2">
      <c r="B543" s="166"/>
      <c r="D543" s="47"/>
      <c r="E543" s="47"/>
      <c r="F543" s="47"/>
      <c r="G543" s="47"/>
      <c r="H543" s="47"/>
    </row>
    <row r="544" spans="2:8" x14ac:dyDescent="0.2">
      <c r="B544" s="166"/>
      <c r="D544" s="47"/>
      <c r="E544" s="47"/>
      <c r="F544" s="47"/>
      <c r="G544" s="47"/>
      <c r="H544" s="47"/>
    </row>
    <row r="545" spans="2:8" x14ac:dyDescent="0.2">
      <c r="B545" s="166"/>
      <c r="D545" s="47"/>
      <c r="E545" s="47"/>
      <c r="F545" s="47"/>
      <c r="G545" s="47"/>
      <c r="H545" s="47"/>
    </row>
    <row r="546" spans="2:8" x14ac:dyDescent="0.2">
      <c r="B546" s="166"/>
      <c r="D546" s="47"/>
      <c r="E546" s="47"/>
      <c r="F546" s="47"/>
      <c r="G546" s="47"/>
      <c r="H546" s="47"/>
    </row>
    <row r="547" spans="2:8" x14ac:dyDescent="0.2">
      <c r="B547" s="166"/>
      <c r="D547" s="47"/>
      <c r="E547" s="47"/>
      <c r="F547" s="47"/>
      <c r="G547" s="47"/>
      <c r="H547" s="47"/>
    </row>
    <row r="548" spans="2:8" x14ac:dyDescent="0.2">
      <c r="B548" s="166"/>
      <c r="D548" s="47"/>
      <c r="E548" s="47"/>
      <c r="F548" s="47"/>
      <c r="G548" s="47"/>
      <c r="H548" s="47"/>
    </row>
    <row r="549" spans="2:8" x14ac:dyDescent="0.2">
      <c r="B549" s="166"/>
      <c r="D549" s="47"/>
      <c r="E549" s="47"/>
      <c r="F549" s="47"/>
      <c r="G549" s="47"/>
      <c r="H549" s="47"/>
    </row>
    <row r="550" spans="2:8" x14ac:dyDescent="0.2">
      <c r="B550" s="166"/>
      <c r="D550" s="47"/>
      <c r="E550" s="47"/>
      <c r="F550" s="47"/>
      <c r="G550" s="47"/>
      <c r="H550" s="47"/>
    </row>
    <row r="551" spans="2:8" x14ac:dyDescent="0.2">
      <c r="B551" s="166"/>
      <c r="D551" s="47"/>
      <c r="E551" s="47"/>
      <c r="F551" s="47"/>
      <c r="G551" s="47"/>
      <c r="H551" s="47"/>
    </row>
    <row r="552" spans="2:8" x14ac:dyDescent="0.2">
      <c r="B552" s="166"/>
      <c r="D552" s="47"/>
      <c r="E552" s="47"/>
      <c r="F552" s="47"/>
      <c r="G552" s="47"/>
      <c r="H552" s="47"/>
    </row>
    <row r="553" spans="2:8" x14ac:dyDescent="0.2">
      <c r="B553" s="166"/>
      <c r="D553" s="47"/>
      <c r="E553" s="47"/>
      <c r="F553" s="47"/>
      <c r="G553" s="47"/>
      <c r="H553" s="47"/>
    </row>
    <row r="554" spans="2:8" x14ac:dyDescent="0.2">
      <c r="B554" s="166"/>
      <c r="D554" s="47"/>
      <c r="E554" s="47"/>
      <c r="F554" s="47"/>
      <c r="G554" s="47"/>
      <c r="H554" s="47"/>
    </row>
    <row r="555" spans="2:8" x14ac:dyDescent="0.2">
      <c r="B555" s="166"/>
      <c r="D555" s="47"/>
      <c r="E555" s="47"/>
      <c r="F555" s="47"/>
      <c r="G555" s="47"/>
      <c r="H555" s="47"/>
    </row>
    <row r="556" spans="2:8" x14ac:dyDescent="0.2">
      <c r="B556" s="166"/>
      <c r="D556" s="47"/>
      <c r="E556" s="47"/>
      <c r="F556" s="47"/>
      <c r="G556" s="47"/>
      <c r="H556" s="47"/>
    </row>
    <row r="557" spans="2:8" x14ac:dyDescent="0.2">
      <c r="B557" s="166"/>
      <c r="D557" s="47"/>
      <c r="E557" s="47"/>
      <c r="F557" s="47"/>
      <c r="G557" s="47"/>
      <c r="H557" s="47"/>
    </row>
    <row r="558" spans="2:8" x14ac:dyDescent="0.2">
      <c r="B558" s="166"/>
      <c r="D558" s="47"/>
      <c r="E558" s="47"/>
      <c r="F558" s="47"/>
      <c r="G558" s="47"/>
      <c r="H558" s="47"/>
    </row>
    <row r="559" spans="2:8" x14ac:dyDescent="0.2">
      <c r="B559" s="166"/>
      <c r="D559" s="47"/>
      <c r="E559" s="47"/>
      <c r="F559" s="47"/>
      <c r="G559" s="47"/>
      <c r="H559" s="47"/>
    </row>
    <row r="560" spans="2:8" x14ac:dyDescent="0.2">
      <c r="B560" s="166"/>
      <c r="D560" s="47"/>
      <c r="E560" s="47"/>
      <c r="F560" s="47"/>
      <c r="G560" s="47"/>
      <c r="H560" s="47"/>
    </row>
    <row r="561" spans="2:8" x14ac:dyDescent="0.2">
      <c r="B561" s="166"/>
      <c r="D561" s="47"/>
      <c r="E561" s="47"/>
      <c r="F561" s="47"/>
      <c r="G561" s="47"/>
      <c r="H561" s="47"/>
    </row>
    <row r="562" spans="2:8" x14ac:dyDescent="0.2">
      <c r="B562" s="166"/>
      <c r="D562" s="47"/>
      <c r="E562" s="47"/>
      <c r="F562" s="47"/>
      <c r="G562" s="47"/>
      <c r="H562" s="47"/>
    </row>
    <row r="563" spans="2:8" x14ac:dyDescent="0.2">
      <c r="B563" s="166"/>
      <c r="D563" s="47"/>
      <c r="E563" s="47"/>
      <c r="F563" s="47"/>
      <c r="G563" s="47"/>
      <c r="H563" s="47"/>
    </row>
    <row r="564" spans="2:8" x14ac:dyDescent="0.2">
      <c r="B564" s="166"/>
      <c r="D564" s="47"/>
      <c r="E564" s="47"/>
      <c r="F564" s="47"/>
      <c r="G564" s="47"/>
      <c r="H564" s="47"/>
    </row>
    <row r="565" spans="2:8" x14ac:dyDescent="0.2">
      <c r="B565" s="166"/>
      <c r="D565" s="47"/>
      <c r="E565" s="47"/>
      <c r="F565" s="47"/>
      <c r="G565" s="47"/>
      <c r="H565" s="47"/>
    </row>
    <row r="566" spans="2:8" x14ac:dyDescent="0.2">
      <c r="B566" s="166"/>
      <c r="D566" s="47"/>
      <c r="E566" s="47"/>
      <c r="F566" s="47"/>
      <c r="G566" s="47"/>
      <c r="H566" s="47"/>
    </row>
    <row r="567" spans="2:8" x14ac:dyDescent="0.2">
      <c r="B567" s="166"/>
      <c r="D567" s="47"/>
      <c r="E567" s="47"/>
      <c r="F567" s="47"/>
      <c r="G567" s="47"/>
      <c r="H567" s="47"/>
    </row>
    <row r="568" spans="2:8" x14ac:dyDescent="0.2">
      <c r="B568" s="166"/>
      <c r="D568" s="47"/>
      <c r="E568" s="47"/>
      <c r="F568" s="47"/>
      <c r="G568" s="47"/>
      <c r="H568" s="47"/>
    </row>
    <row r="569" spans="2:8" x14ac:dyDescent="0.2">
      <c r="B569" s="166"/>
      <c r="D569" s="47"/>
      <c r="E569" s="47"/>
      <c r="F569" s="47"/>
      <c r="G569" s="47"/>
      <c r="H569" s="47"/>
    </row>
    <row r="570" spans="2:8" x14ac:dyDescent="0.2">
      <c r="B570" s="166"/>
      <c r="D570" s="47"/>
      <c r="E570" s="47"/>
      <c r="F570" s="47"/>
      <c r="G570" s="47"/>
      <c r="H570" s="47"/>
    </row>
    <row r="571" spans="2:8" x14ac:dyDescent="0.2">
      <c r="B571" s="166"/>
      <c r="D571" s="47"/>
      <c r="E571" s="47"/>
      <c r="F571" s="47"/>
      <c r="G571" s="47"/>
      <c r="H571" s="47"/>
    </row>
    <row r="572" spans="2:8" x14ac:dyDescent="0.2">
      <c r="B572" s="166"/>
      <c r="D572" s="47"/>
      <c r="E572" s="47"/>
      <c r="F572" s="47"/>
      <c r="G572" s="47"/>
      <c r="H572" s="47"/>
    </row>
    <row r="573" spans="2:8" x14ac:dyDescent="0.2">
      <c r="B573" s="166"/>
      <c r="D573" s="47"/>
      <c r="E573" s="47"/>
      <c r="F573" s="47"/>
      <c r="G573" s="47"/>
      <c r="H573" s="47"/>
    </row>
    <row r="574" spans="2:8" x14ac:dyDescent="0.2">
      <c r="B574" s="166"/>
      <c r="D574" s="47"/>
      <c r="E574" s="47"/>
      <c r="F574" s="47"/>
      <c r="G574" s="47"/>
      <c r="H574" s="47"/>
    </row>
    <row r="575" spans="2:8" x14ac:dyDescent="0.2">
      <c r="B575" s="166"/>
      <c r="D575" s="47"/>
      <c r="E575" s="47"/>
      <c r="F575" s="47"/>
      <c r="G575" s="47"/>
      <c r="H575" s="47"/>
    </row>
    <row r="576" spans="2:8" x14ac:dyDescent="0.2">
      <c r="B576" s="166"/>
      <c r="D576" s="47"/>
      <c r="E576" s="47"/>
      <c r="F576" s="47"/>
      <c r="G576" s="47"/>
      <c r="H576" s="47"/>
    </row>
    <row r="577" spans="2:8" x14ac:dyDescent="0.2">
      <c r="B577" s="166"/>
      <c r="D577" s="47"/>
      <c r="E577" s="47"/>
      <c r="F577" s="47"/>
      <c r="G577" s="47"/>
      <c r="H577" s="47"/>
    </row>
    <row r="578" spans="2:8" x14ac:dyDescent="0.2">
      <c r="B578" s="166"/>
      <c r="D578" s="47"/>
      <c r="E578" s="47"/>
      <c r="F578" s="47"/>
      <c r="G578" s="47"/>
      <c r="H578" s="47"/>
    </row>
    <row r="579" spans="2:8" x14ac:dyDescent="0.2">
      <c r="B579" s="166"/>
      <c r="D579" s="47"/>
      <c r="E579" s="47"/>
      <c r="F579" s="47"/>
      <c r="G579" s="47"/>
      <c r="H579" s="47"/>
    </row>
    <row r="580" spans="2:8" x14ac:dyDescent="0.2">
      <c r="B580" s="166"/>
      <c r="D580" s="47"/>
      <c r="E580" s="47"/>
      <c r="F580" s="47"/>
      <c r="G580" s="47"/>
      <c r="H580" s="47"/>
    </row>
    <row r="581" spans="2:8" x14ac:dyDescent="0.2">
      <c r="B581" s="166"/>
      <c r="D581" s="47"/>
      <c r="E581" s="47"/>
      <c r="F581" s="47"/>
      <c r="G581" s="47"/>
      <c r="H581" s="47"/>
    </row>
    <row r="582" spans="2:8" x14ac:dyDescent="0.2">
      <c r="B582" s="166"/>
      <c r="D582" s="47"/>
      <c r="E582" s="47"/>
      <c r="F582" s="47"/>
      <c r="G582" s="47"/>
      <c r="H582" s="47"/>
    </row>
    <row r="583" spans="2:8" x14ac:dyDescent="0.2">
      <c r="B583" s="166"/>
      <c r="D583" s="47"/>
      <c r="E583" s="47"/>
      <c r="F583" s="47"/>
      <c r="G583" s="47"/>
      <c r="H583" s="47"/>
    </row>
    <row r="584" spans="2:8" x14ac:dyDescent="0.2">
      <c r="B584" s="166"/>
      <c r="D584" s="47"/>
      <c r="E584" s="47"/>
      <c r="F584" s="47"/>
      <c r="G584" s="47"/>
      <c r="H584" s="47"/>
    </row>
    <row r="585" spans="2:8" x14ac:dyDescent="0.2">
      <c r="B585" s="166"/>
      <c r="D585" s="47"/>
      <c r="E585" s="47"/>
      <c r="F585" s="47"/>
      <c r="G585" s="47"/>
      <c r="H585" s="47"/>
    </row>
    <row r="586" spans="2:8" x14ac:dyDescent="0.2">
      <c r="B586" s="166"/>
      <c r="D586" s="47"/>
      <c r="E586" s="47"/>
      <c r="F586" s="47"/>
      <c r="G586" s="47"/>
      <c r="H586" s="47"/>
    </row>
    <row r="587" spans="2:8" x14ac:dyDescent="0.2">
      <c r="B587" s="166"/>
      <c r="D587" s="47"/>
      <c r="E587" s="47"/>
      <c r="F587" s="47"/>
      <c r="G587" s="47"/>
      <c r="H587" s="47"/>
    </row>
    <row r="588" spans="2:8" x14ac:dyDescent="0.2">
      <c r="B588" s="166"/>
      <c r="D588" s="47"/>
      <c r="E588" s="47"/>
      <c r="F588" s="47"/>
      <c r="G588" s="47"/>
      <c r="H588" s="47"/>
    </row>
    <row r="589" spans="2:8" x14ac:dyDescent="0.2">
      <c r="B589" s="166"/>
      <c r="D589" s="47"/>
      <c r="E589" s="47"/>
      <c r="F589" s="47"/>
      <c r="G589" s="47"/>
      <c r="H589" s="47"/>
    </row>
    <row r="590" spans="2:8" x14ac:dyDescent="0.2">
      <c r="B590" s="166"/>
      <c r="D590" s="47"/>
      <c r="E590" s="47"/>
      <c r="F590" s="47"/>
      <c r="G590" s="47"/>
      <c r="H590" s="47"/>
    </row>
    <row r="591" spans="2:8" x14ac:dyDescent="0.2">
      <c r="B591" s="166"/>
      <c r="D591" s="47"/>
      <c r="E591" s="47"/>
      <c r="F591" s="47"/>
      <c r="G591" s="47"/>
      <c r="H591" s="47"/>
    </row>
    <row r="592" spans="2:8" x14ac:dyDescent="0.2">
      <c r="B592" s="166"/>
      <c r="D592" s="47"/>
      <c r="E592" s="47"/>
      <c r="F592" s="47"/>
      <c r="G592" s="47"/>
      <c r="H592" s="47"/>
    </row>
    <row r="593" spans="2:8" x14ac:dyDescent="0.2">
      <c r="B593" s="166"/>
      <c r="D593" s="47"/>
      <c r="E593" s="47"/>
      <c r="F593" s="47"/>
      <c r="G593" s="47"/>
      <c r="H593" s="47"/>
    </row>
    <row r="594" spans="2:8" x14ac:dyDescent="0.2">
      <c r="B594" s="166"/>
      <c r="D594" s="47"/>
      <c r="E594" s="47"/>
      <c r="F594" s="47"/>
      <c r="G594" s="47"/>
      <c r="H594" s="47"/>
    </row>
    <row r="595" spans="2:8" x14ac:dyDescent="0.2">
      <c r="B595" s="166"/>
      <c r="D595" s="47"/>
      <c r="E595" s="47"/>
      <c r="F595" s="47"/>
      <c r="G595" s="47"/>
      <c r="H595" s="47"/>
    </row>
    <row r="596" spans="2:8" x14ac:dyDescent="0.2">
      <c r="B596" s="166"/>
      <c r="D596" s="47"/>
      <c r="E596" s="47"/>
      <c r="F596" s="47"/>
      <c r="G596" s="47"/>
      <c r="H596" s="47"/>
    </row>
    <row r="597" spans="2:8" x14ac:dyDescent="0.2">
      <c r="B597" s="166"/>
      <c r="D597" s="47"/>
      <c r="E597" s="47"/>
      <c r="F597" s="47"/>
      <c r="G597" s="47"/>
      <c r="H597" s="47"/>
    </row>
    <row r="598" spans="2:8" x14ac:dyDescent="0.2">
      <c r="B598" s="166"/>
      <c r="D598" s="47"/>
      <c r="E598" s="47"/>
      <c r="F598" s="47"/>
      <c r="G598" s="47"/>
      <c r="H598" s="47"/>
    </row>
    <row r="599" spans="2:8" x14ac:dyDescent="0.2">
      <c r="B599" s="166"/>
      <c r="D599" s="47"/>
      <c r="E599" s="47"/>
      <c r="F599" s="47"/>
      <c r="G599" s="47"/>
      <c r="H599" s="47"/>
    </row>
    <row r="600" spans="2:8" x14ac:dyDescent="0.2">
      <c r="B600" s="166"/>
      <c r="D600" s="47"/>
      <c r="E600" s="47"/>
      <c r="F600" s="47"/>
      <c r="G600" s="47"/>
      <c r="H600" s="47"/>
    </row>
    <row r="601" spans="2:8" x14ac:dyDescent="0.2">
      <c r="B601" s="166"/>
      <c r="D601" s="47"/>
      <c r="E601" s="47"/>
      <c r="F601" s="47"/>
      <c r="G601" s="47"/>
      <c r="H601" s="47"/>
    </row>
    <row r="602" spans="2:8" x14ac:dyDescent="0.2">
      <c r="B602" s="166"/>
      <c r="D602" s="47"/>
      <c r="E602" s="47"/>
      <c r="F602" s="47"/>
      <c r="G602" s="47"/>
      <c r="H602" s="47"/>
    </row>
    <row r="603" spans="2:8" x14ac:dyDescent="0.2">
      <c r="B603" s="166"/>
      <c r="D603" s="47"/>
      <c r="E603" s="47"/>
      <c r="F603" s="47"/>
      <c r="G603" s="47"/>
      <c r="H603" s="47"/>
    </row>
    <row r="604" spans="2:8" x14ac:dyDescent="0.2">
      <c r="B604" s="166"/>
      <c r="D604" s="47"/>
      <c r="E604" s="47"/>
      <c r="F604" s="47"/>
      <c r="G604" s="47"/>
      <c r="H604" s="47"/>
    </row>
    <row r="605" spans="2:8" x14ac:dyDescent="0.2">
      <c r="B605" s="166"/>
      <c r="D605" s="47"/>
      <c r="E605" s="47"/>
      <c r="F605" s="47"/>
      <c r="G605" s="47"/>
      <c r="H605" s="47"/>
    </row>
    <row r="606" spans="2:8" x14ac:dyDescent="0.2">
      <c r="B606" s="166"/>
      <c r="D606" s="47"/>
      <c r="E606" s="47"/>
      <c r="F606" s="47"/>
      <c r="G606" s="47"/>
      <c r="H606" s="47"/>
    </row>
    <row r="607" spans="2:8" x14ac:dyDescent="0.2">
      <c r="B607" s="166"/>
      <c r="D607" s="47"/>
      <c r="E607" s="47"/>
      <c r="F607" s="47"/>
      <c r="G607" s="47"/>
      <c r="H607" s="47"/>
    </row>
    <row r="608" spans="2:8" x14ac:dyDescent="0.2">
      <c r="B608" s="166"/>
      <c r="D608" s="47"/>
      <c r="E608" s="47"/>
      <c r="F608" s="47"/>
      <c r="G608" s="47"/>
      <c r="H608" s="47"/>
    </row>
    <row r="609" spans="2:8" x14ac:dyDescent="0.2">
      <c r="B609" s="166"/>
      <c r="D609" s="47"/>
      <c r="E609" s="47"/>
      <c r="F609" s="47"/>
      <c r="G609" s="47"/>
      <c r="H609" s="47"/>
    </row>
    <row r="610" spans="2:8" x14ac:dyDescent="0.2">
      <c r="B610" s="166"/>
      <c r="D610" s="47"/>
      <c r="E610" s="47"/>
      <c r="F610" s="47"/>
      <c r="G610" s="47"/>
      <c r="H610" s="47"/>
    </row>
    <row r="611" spans="2:8" x14ac:dyDescent="0.2">
      <c r="B611" s="166"/>
      <c r="D611" s="47"/>
      <c r="E611" s="47"/>
      <c r="F611" s="47"/>
      <c r="G611" s="47"/>
      <c r="H611" s="47"/>
    </row>
    <row r="612" spans="2:8" x14ac:dyDescent="0.2">
      <c r="B612" s="166"/>
      <c r="D612" s="47"/>
      <c r="E612" s="47"/>
      <c r="F612" s="47"/>
      <c r="G612" s="47"/>
      <c r="H612" s="47"/>
    </row>
    <row r="613" spans="2:8" x14ac:dyDescent="0.2">
      <c r="B613" s="166"/>
      <c r="D613" s="47"/>
      <c r="E613" s="47"/>
      <c r="F613" s="47"/>
      <c r="G613" s="47"/>
      <c r="H613" s="47"/>
    </row>
    <row r="614" spans="2:8" x14ac:dyDescent="0.2">
      <c r="B614" s="166"/>
      <c r="D614" s="47"/>
      <c r="E614" s="47"/>
      <c r="F614" s="47"/>
      <c r="G614" s="47"/>
      <c r="H614" s="47"/>
    </row>
    <row r="615" spans="2:8" x14ac:dyDescent="0.2">
      <c r="B615" s="166"/>
      <c r="D615" s="47"/>
      <c r="E615" s="47"/>
      <c r="F615" s="47"/>
      <c r="G615" s="47"/>
      <c r="H615" s="47"/>
    </row>
    <row r="616" spans="2:8" x14ac:dyDescent="0.2">
      <c r="B616" s="166"/>
      <c r="D616" s="47"/>
      <c r="E616" s="47"/>
      <c r="F616" s="47"/>
      <c r="G616" s="47"/>
      <c r="H616" s="47"/>
    </row>
    <row r="617" spans="2:8" x14ac:dyDescent="0.2">
      <c r="B617" s="166"/>
      <c r="D617" s="47"/>
      <c r="E617" s="47"/>
      <c r="F617" s="47"/>
      <c r="G617" s="47"/>
      <c r="H617" s="47"/>
    </row>
    <row r="618" spans="2:8" x14ac:dyDescent="0.2">
      <c r="B618" s="166"/>
      <c r="D618" s="47"/>
      <c r="E618" s="47"/>
      <c r="F618" s="47"/>
      <c r="G618" s="47"/>
      <c r="H618" s="47"/>
    </row>
    <row r="619" spans="2:8" x14ac:dyDescent="0.2">
      <c r="B619" s="166"/>
      <c r="D619" s="47"/>
      <c r="E619" s="47"/>
      <c r="F619" s="47"/>
      <c r="G619" s="47"/>
      <c r="H619" s="47"/>
    </row>
    <row r="620" spans="2:8" x14ac:dyDescent="0.2">
      <c r="B620" s="166"/>
      <c r="D620" s="47"/>
      <c r="E620" s="47"/>
      <c r="F620" s="47"/>
      <c r="G620" s="47"/>
      <c r="H620" s="47"/>
    </row>
    <row r="621" spans="2:8" x14ac:dyDescent="0.2">
      <c r="B621" s="166"/>
      <c r="D621" s="47"/>
      <c r="E621" s="47"/>
      <c r="F621" s="47"/>
      <c r="G621" s="47"/>
      <c r="H621" s="47"/>
    </row>
    <row r="622" spans="2:8" x14ac:dyDescent="0.2">
      <c r="B622" s="166"/>
      <c r="D622" s="47"/>
      <c r="E622" s="47"/>
      <c r="F622" s="47"/>
      <c r="G622" s="47"/>
      <c r="H622" s="47"/>
    </row>
    <row r="623" spans="2:8" x14ac:dyDescent="0.2">
      <c r="B623" s="166"/>
      <c r="D623" s="47"/>
      <c r="E623" s="47"/>
      <c r="F623" s="47"/>
      <c r="G623" s="47"/>
      <c r="H623" s="47"/>
    </row>
    <row r="624" spans="2:8" x14ac:dyDescent="0.2">
      <c r="B624" s="166"/>
      <c r="D624" s="47"/>
      <c r="E624" s="47"/>
      <c r="F624" s="47"/>
      <c r="G624" s="47"/>
      <c r="H624" s="47"/>
    </row>
    <row r="625" spans="2:8" x14ac:dyDescent="0.2">
      <c r="B625" s="166"/>
      <c r="D625" s="47"/>
      <c r="E625" s="47"/>
      <c r="F625" s="47"/>
      <c r="G625" s="47"/>
      <c r="H625" s="47"/>
    </row>
    <row r="626" spans="2:8" x14ac:dyDescent="0.2">
      <c r="B626" s="166"/>
      <c r="D626" s="47"/>
      <c r="E626" s="47"/>
      <c r="F626" s="47"/>
      <c r="G626" s="47"/>
      <c r="H626" s="47"/>
    </row>
    <row r="627" spans="2:8" x14ac:dyDescent="0.2">
      <c r="B627" s="166"/>
      <c r="D627" s="47"/>
      <c r="E627" s="47"/>
      <c r="F627" s="47"/>
      <c r="G627" s="47"/>
      <c r="H627" s="47"/>
    </row>
    <row r="628" spans="2:8" x14ac:dyDescent="0.2">
      <c r="B628" s="166"/>
      <c r="D628" s="47"/>
      <c r="E628" s="47"/>
      <c r="F628" s="47"/>
      <c r="G628" s="47"/>
      <c r="H628" s="47"/>
    </row>
    <row r="629" spans="2:8" x14ac:dyDescent="0.2">
      <c r="B629" s="166"/>
      <c r="D629" s="47"/>
      <c r="E629" s="47"/>
      <c r="F629" s="47"/>
      <c r="G629" s="47"/>
      <c r="H629" s="47"/>
    </row>
    <row r="630" spans="2:8" x14ac:dyDescent="0.2">
      <c r="B630" s="166"/>
      <c r="D630" s="47"/>
      <c r="E630" s="47"/>
      <c r="F630" s="47"/>
      <c r="G630" s="47"/>
      <c r="H630" s="47"/>
    </row>
    <row r="631" spans="2:8" x14ac:dyDescent="0.2">
      <c r="B631" s="166"/>
      <c r="D631" s="47"/>
      <c r="E631" s="47"/>
      <c r="F631" s="47"/>
      <c r="G631" s="47"/>
      <c r="H631" s="47"/>
    </row>
    <row r="632" spans="2:8" x14ac:dyDescent="0.2">
      <c r="B632" s="166"/>
      <c r="D632" s="47"/>
      <c r="E632" s="47"/>
      <c r="F632" s="47"/>
      <c r="G632" s="47"/>
      <c r="H632" s="47"/>
    </row>
    <row r="633" spans="2:8" x14ac:dyDescent="0.2">
      <c r="B633" s="166"/>
      <c r="D633" s="47"/>
      <c r="E633" s="47"/>
      <c r="F633" s="47"/>
      <c r="G633" s="47"/>
      <c r="H633" s="47"/>
    </row>
    <row r="634" spans="2:8" x14ac:dyDescent="0.2">
      <c r="B634" s="166"/>
      <c r="D634" s="47"/>
      <c r="E634" s="47"/>
      <c r="F634" s="47"/>
      <c r="G634" s="47"/>
      <c r="H634" s="47"/>
    </row>
    <row r="635" spans="2:8" x14ac:dyDescent="0.2">
      <c r="B635" s="166"/>
      <c r="D635" s="47"/>
      <c r="E635" s="47"/>
      <c r="F635" s="47"/>
      <c r="G635" s="47"/>
      <c r="H635" s="47"/>
    </row>
    <row r="636" spans="2:8" x14ac:dyDescent="0.2">
      <c r="B636" s="166"/>
      <c r="D636" s="47"/>
      <c r="E636" s="47"/>
      <c r="F636" s="47"/>
      <c r="G636" s="47"/>
      <c r="H636" s="47"/>
    </row>
    <row r="637" spans="2:8" x14ac:dyDescent="0.2">
      <c r="B637" s="166"/>
      <c r="D637" s="47"/>
      <c r="E637" s="47"/>
      <c r="F637" s="47"/>
      <c r="G637" s="47"/>
      <c r="H637" s="47"/>
    </row>
    <row r="638" spans="2:8" x14ac:dyDescent="0.2">
      <c r="B638" s="166"/>
      <c r="D638" s="47"/>
      <c r="E638" s="47"/>
      <c r="F638" s="47"/>
      <c r="G638" s="47"/>
      <c r="H638" s="47"/>
    </row>
    <row r="639" spans="2:8" x14ac:dyDescent="0.2">
      <c r="B639" s="166"/>
      <c r="D639" s="47"/>
      <c r="E639" s="47"/>
      <c r="F639" s="47"/>
      <c r="G639" s="47"/>
      <c r="H639" s="47"/>
    </row>
    <row r="640" spans="2:8" x14ac:dyDescent="0.2">
      <c r="B640" s="166"/>
      <c r="D640" s="47"/>
      <c r="E640" s="47"/>
      <c r="F640" s="47"/>
      <c r="G640" s="47"/>
      <c r="H640" s="47"/>
    </row>
    <row r="641" spans="2:8" x14ac:dyDescent="0.2">
      <c r="B641" s="166"/>
      <c r="D641" s="47"/>
      <c r="E641" s="47"/>
      <c r="F641" s="47"/>
      <c r="G641" s="47"/>
      <c r="H641" s="47"/>
    </row>
    <row r="642" spans="2:8" x14ac:dyDescent="0.2">
      <c r="B642" s="166"/>
      <c r="D642" s="47"/>
      <c r="E642" s="47"/>
      <c r="F642" s="47"/>
      <c r="G642" s="47"/>
      <c r="H642" s="47"/>
    </row>
    <row r="643" spans="2:8" x14ac:dyDescent="0.2">
      <c r="B643" s="166"/>
      <c r="D643" s="47"/>
      <c r="E643" s="47"/>
      <c r="F643" s="47"/>
      <c r="G643" s="47"/>
      <c r="H643" s="47"/>
    </row>
    <row r="644" spans="2:8" x14ac:dyDescent="0.2">
      <c r="B644" s="166"/>
      <c r="D644" s="47"/>
      <c r="E644" s="47"/>
      <c r="F644" s="47"/>
      <c r="G644" s="47"/>
      <c r="H644" s="47"/>
    </row>
    <row r="645" spans="2:8" x14ac:dyDescent="0.2">
      <c r="B645" s="166"/>
      <c r="D645" s="47"/>
      <c r="E645" s="47"/>
      <c r="F645" s="47"/>
      <c r="G645" s="47"/>
      <c r="H645" s="47"/>
    </row>
    <row r="646" spans="2:8" x14ac:dyDescent="0.2">
      <c r="B646" s="166"/>
      <c r="D646" s="47"/>
      <c r="E646" s="47"/>
      <c r="F646" s="47"/>
      <c r="G646" s="47"/>
      <c r="H646" s="47"/>
    </row>
    <row r="647" spans="2:8" x14ac:dyDescent="0.2">
      <c r="B647" s="166"/>
      <c r="D647" s="47"/>
      <c r="E647" s="47"/>
      <c r="F647" s="47"/>
      <c r="G647" s="47"/>
      <c r="H647" s="47"/>
    </row>
    <row r="648" spans="2:8" x14ac:dyDescent="0.2">
      <c r="B648" s="166"/>
      <c r="D648" s="47"/>
      <c r="E648" s="47"/>
      <c r="F648" s="47"/>
      <c r="G648" s="47"/>
      <c r="H648" s="47"/>
    </row>
    <row r="649" spans="2:8" x14ac:dyDescent="0.2">
      <c r="B649" s="166"/>
      <c r="D649" s="47"/>
      <c r="E649" s="47"/>
      <c r="F649" s="47"/>
      <c r="G649" s="47"/>
      <c r="H649" s="47"/>
    </row>
    <row r="650" spans="2:8" x14ac:dyDescent="0.2">
      <c r="B650" s="166"/>
      <c r="D650" s="47"/>
      <c r="E650" s="47"/>
      <c r="F650" s="47"/>
      <c r="G650" s="47"/>
      <c r="H650" s="47"/>
    </row>
    <row r="651" spans="2:8" x14ac:dyDescent="0.2">
      <c r="B651" s="166"/>
      <c r="D651" s="47"/>
      <c r="E651" s="47"/>
      <c r="F651" s="47"/>
      <c r="G651" s="47"/>
      <c r="H651" s="47"/>
    </row>
    <row r="652" spans="2:8" x14ac:dyDescent="0.2">
      <c r="B652" s="166"/>
      <c r="D652" s="47"/>
      <c r="E652" s="47"/>
      <c r="F652" s="47"/>
      <c r="G652" s="47"/>
      <c r="H652" s="47"/>
    </row>
    <row r="653" spans="2:8" x14ac:dyDescent="0.2">
      <c r="B653" s="166"/>
      <c r="D653" s="47"/>
      <c r="E653" s="47"/>
      <c r="F653" s="47"/>
      <c r="G653" s="47"/>
      <c r="H653" s="47"/>
    </row>
    <row r="654" spans="2:8" x14ac:dyDescent="0.2">
      <c r="B654" s="166"/>
      <c r="D654" s="47"/>
      <c r="E654" s="47"/>
      <c r="F654" s="47"/>
      <c r="G654" s="47"/>
      <c r="H654" s="47"/>
    </row>
    <row r="655" spans="2:8" x14ac:dyDescent="0.2">
      <c r="B655" s="166"/>
      <c r="D655" s="47"/>
      <c r="E655" s="47"/>
      <c r="F655" s="47"/>
      <c r="G655" s="47"/>
      <c r="H655" s="47"/>
    </row>
    <row r="656" spans="2:8" x14ac:dyDescent="0.2">
      <c r="B656" s="166"/>
      <c r="D656" s="47"/>
      <c r="E656" s="47"/>
      <c r="F656" s="47"/>
      <c r="G656" s="47"/>
      <c r="H656" s="47"/>
    </row>
    <row r="657" spans="2:8" x14ac:dyDescent="0.2">
      <c r="B657" s="166"/>
      <c r="D657" s="47"/>
      <c r="E657" s="47"/>
      <c r="F657" s="47"/>
      <c r="G657" s="47"/>
      <c r="H657" s="47"/>
    </row>
    <row r="658" spans="2:8" x14ac:dyDescent="0.2">
      <c r="B658" s="166"/>
      <c r="D658" s="47"/>
      <c r="E658" s="47"/>
      <c r="F658" s="47"/>
      <c r="G658" s="47"/>
      <c r="H658" s="47"/>
    </row>
    <row r="659" spans="2:8" x14ac:dyDescent="0.2">
      <c r="B659" s="166"/>
      <c r="D659" s="47"/>
      <c r="E659" s="47"/>
      <c r="F659" s="47"/>
      <c r="G659" s="47"/>
      <c r="H659" s="47"/>
    </row>
    <row r="660" spans="2:8" x14ac:dyDescent="0.2">
      <c r="B660" s="166"/>
      <c r="D660" s="47"/>
      <c r="E660" s="47"/>
      <c r="F660" s="47"/>
      <c r="G660" s="47"/>
      <c r="H660" s="47"/>
    </row>
    <row r="661" spans="2:8" x14ac:dyDescent="0.2">
      <c r="B661" s="166"/>
      <c r="D661" s="47"/>
      <c r="E661" s="47"/>
      <c r="F661" s="47"/>
      <c r="G661" s="47"/>
      <c r="H661" s="47"/>
    </row>
    <row r="662" spans="2:8" x14ac:dyDescent="0.2">
      <c r="B662" s="166"/>
      <c r="D662" s="47"/>
      <c r="E662" s="47"/>
      <c r="F662" s="47"/>
      <c r="G662" s="47"/>
      <c r="H662" s="47"/>
    </row>
    <row r="663" spans="2:8" x14ac:dyDescent="0.2">
      <c r="B663" s="166"/>
      <c r="D663" s="47"/>
      <c r="E663" s="47"/>
      <c r="F663" s="47"/>
      <c r="G663" s="47"/>
      <c r="H663" s="47"/>
    </row>
    <row r="664" spans="2:8" x14ac:dyDescent="0.2">
      <c r="B664" s="166"/>
      <c r="D664" s="47"/>
      <c r="E664" s="47"/>
      <c r="F664" s="47"/>
      <c r="G664" s="47"/>
      <c r="H664" s="47"/>
    </row>
    <row r="665" spans="2:8" x14ac:dyDescent="0.2">
      <c r="B665" s="166"/>
      <c r="D665" s="47"/>
      <c r="E665" s="47"/>
      <c r="F665" s="47"/>
      <c r="G665" s="47"/>
      <c r="H665" s="47"/>
    </row>
    <row r="666" spans="2:8" x14ac:dyDescent="0.2">
      <c r="B666" s="166"/>
      <c r="D666" s="47"/>
      <c r="E666" s="47"/>
      <c r="F666" s="47"/>
      <c r="G666" s="47"/>
      <c r="H666" s="47"/>
    </row>
    <row r="667" spans="2:8" x14ac:dyDescent="0.2">
      <c r="B667" s="166"/>
      <c r="D667" s="47"/>
      <c r="E667" s="47"/>
      <c r="F667" s="47"/>
      <c r="G667" s="47"/>
      <c r="H667" s="47"/>
    </row>
    <row r="668" spans="2:8" x14ac:dyDescent="0.2">
      <c r="B668" s="166"/>
      <c r="D668" s="47"/>
      <c r="E668" s="47"/>
      <c r="F668" s="47"/>
      <c r="G668" s="47"/>
      <c r="H668" s="47"/>
    </row>
    <row r="669" spans="2:8" x14ac:dyDescent="0.2">
      <c r="B669" s="166"/>
      <c r="D669" s="47"/>
      <c r="E669" s="47"/>
      <c r="F669" s="47"/>
      <c r="G669" s="47"/>
      <c r="H669" s="47"/>
    </row>
    <row r="670" spans="2:8" x14ac:dyDescent="0.2">
      <c r="B670" s="166"/>
      <c r="D670" s="47"/>
      <c r="E670" s="47"/>
      <c r="F670" s="47"/>
      <c r="G670" s="47"/>
      <c r="H670" s="47"/>
    </row>
    <row r="671" spans="2:8" x14ac:dyDescent="0.2">
      <c r="B671" s="166"/>
      <c r="D671" s="47"/>
      <c r="E671" s="47"/>
      <c r="F671" s="47"/>
      <c r="G671" s="47"/>
      <c r="H671" s="47"/>
    </row>
    <row r="672" spans="2:8" x14ac:dyDescent="0.2">
      <c r="B672" s="166"/>
      <c r="D672" s="47"/>
      <c r="E672" s="47"/>
      <c r="F672" s="47"/>
      <c r="G672" s="47"/>
      <c r="H672" s="47"/>
    </row>
    <row r="673" spans="2:8" x14ac:dyDescent="0.2">
      <c r="B673" s="166"/>
      <c r="D673" s="47"/>
      <c r="E673" s="47"/>
      <c r="F673" s="47"/>
      <c r="G673" s="47"/>
      <c r="H673" s="47"/>
    </row>
    <row r="674" spans="2:8" x14ac:dyDescent="0.2">
      <c r="B674" s="166"/>
      <c r="D674" s="47"/>
      <c r="E674" s="47"/>
      <c r="F674" s="47"/>
      <c r="G674" s="47"/>
      <c r="H674" s="47"/>
    </row>
    <row r="675" spans="2:8" x14ac:dyDescent="0.2">
      <c r="B675" s="166"/>
      <c r="D675" s="47"/>
      <c r="E675" s="47"/>
      <c r="F675" s="47"/>
      <c r="G675" s="47"/>
      <c r="H675" s="47"/>
    </row>
    <row r="676" spans="2:8" x14ac:dyDescent="0.2">
      <c r="B676" s="166"/>
      <c r="D676" s="47"/>
      <c r="E676" s="47"/>
      <c r="F676" s="47"/>
      <c r="G676" s="47"/>
      <c r="H676" s="47"/>
    </row>
    <row r="677" spans="2:8" x14ac:dyDescent="0.2">
      <c r="B677" s="166"/>
      <c r="D677" s="47"/>
      <c r="E677" s="47"/>
      <c r="F677" s="47"/>
      <c r="G677" s="47"/>
      <c r="H677" s="47"/>
    </row>
    <row r="678" spans="2:8" x14ac:dyDescent="0.2">
      <c r="B678" s="166"/>
      <c r="D678" s="47"/>
      <c r="E678" s="47"/>
      <c r="F678" s="47"/>
      <c r="G678" s="47"/>
      <c r="H678" s="47"/>
    </row>
    <row r="679" spans="2:8" x14ac:dyDescent="0.2">
      <c r="B679" s="166"/>
      <c r="D679" s="47"/>
      <c r="E679" s="47"/>
      <c r="F679" s="47"/>
      <c r="G679" s="47"/>
      <c r="H679" s="47"/>
    </row>
    <row r="680" spans="2:8" x14ac:dyDescent="0.2">
      <c r="B680" s="166"/>
      <c r="D680" s="47"/>
      <c r="E680" s="47"/>
      <c r="F680" s="47"/>
      <c r="G680" s="47"/>
      <c r="H680" s="47"/>
    </row>
    <row r="681" spans="2:8" x14ac:dyDescent="0.2">
      <c r="B681" s="166"/>
      <c r="D681" s="47"/>
      <c r="E681" s="47"/>
      <c r="F681" s="47"/>
      <c r="G681" s="47"/>
      <c r="H681" s="47"/>
    </row>
    <row r="682" spans="2:8" x14ac:dyDescent="0.2">
      <c r="B682" s="166"/>
      <c r="D682" s="47"/>
      <c r="E682" s="47"/>
      <c r="F682" s="47"/>
      <c r="G682" s="47"/>
      <c r="H682" s="47"/>
    </row>
    <row r="683" spans="2:8" x14ac:dyDescent="0.2">
      <c r="B683" s="166"/>
      <c r="D683" s="47"/>
      <c r="E683" s="47"/>
      <c r="F683" s="47"/>
      <c r="G683" s="47"/>
      <c r="H683" s="47"/>
    </row>
    <row r="684" spans="2:8" x14ac:dyDescent="0.2">
      <c r="B684" s="166"/>
      <c r="D684" s="47"/>
      <c r="E684" s="47"/>
      <c r="F684" s="47"/>
      <c r="G684" s="47"/>
      <c r="H684" s="47"/>
    </row>
    <row r="685" spans="2:8" x14ac:dyDescent="0.2">
      <c r="B685" s="166"/>
      <c r="D685" s="47"/>
      <c r="E685" s="47"/>
      <c r="F685" s="47"/>
      <c r="G685" s="47"/>
      <c r="H685" s="47"/>
    </row>
    <row r="686" spans="2:8" x14ac:dyDescent="0.2">
      <c r="B686" s="166"/>
      <c r="D686" s="47"/>
      <c r="E686" s="47"/>
      <c r="F686" s="47"/>
      <c r="G686" s="47"/>
      <c r="H686" s="47"/>
    </row>
    <row r="687" spans="2:8" x14ac:dyDescent="0.2">
      <c r="B687" s="166"/>
      <c r="D687" s="47"/>
      <c r="E687" s="47"/>
      <c r="F687" s="47"/>
      <c r="G687" s="47"/>
      <c r="H687" s="47"/>
    </row>
    <row r="688" spans="2:8" x14ac:dyDescent="0.2">
      <c r="B688" s="166"/>
      <c r="D688" s="47"/>
      <c r="E688" s="47"/>
      <c r="F688" s="47"/>
      <c r="G688" s="47"/>
      <c r="H688" s="47"/>
    </row>
    <row r="689" spans="2:8" x14ac:dyDescent="0.2">
      <c r="B689" s="166"/>
      <c r="D689" s="47"/>
      <c r="E689" s="47"/>
      <c r="F689" s="47"/>
      <c r="G689" s="47"/>
      <c r="H689" s="47"/>
    </row>
    <row r="690" spans="2:8" x14ac:dyDescent="0.2">
      <c r="B690" s="166"/>
      <c r="D690" s="47"/>
      <c r="E690" s="47"/>
      <c r="F690" s="47"/>
      <c r="G690" s="47"/>
      <c r="H690" s="47"/>
    </row>
    <row r="691" spans="2:8" x14ac:dyDescent="0.2">
      <c r="B691" s="166"/>
      <c r="D691" s="47"/>
      <c r="E691" s="47"/>
      <c r="F691" s="47"/>
      <c r="G691" s="47"/>
      <c r="H691" s="47"/>
    </row>
    <row r="692" spans="2:8" x14ac:dyDescent="0.2">
      <c r="B692" s="166"/>
      <c r="D692" s="47"/>
      <c r="E692" s="47"/>
      <c r="F692" s="47"/>
      <c r="G692" s="47"/>
      <c r="H692" s="47"/>
    </row>
    <row r="693" spans="2:8" x14ac:dyDescent="0.2">
      <c r="B693" s="166"/>
      <c r="D693" s="47"/>
      <c r="E693" s="47"/>
      <c r="F693" s="47"/>
      <c r="G693" s="47"/>
      <c r="H693" s="47"/>
    </row>
    <row r="694" spans="2:8" x14ac:dyDescent="0.2">
      <c r="B694" s="166"/>
      <c r="D694" s="47"/>
      <c r="E694" s="47"/>
      <c r="F694" s="47"/>
      <c r="G694" s="47"/>
      <c r="H694" s="47"/>
    </row>
    <row r="695" spans="2:8" x14ac:dyDescent="0.2">
      <c r="B695" s="166"/>
      <c r="D695" s="47"/>
      <c r="E695" s="47"/>
      <c r="F695" s="47"/>
      <c r="G695" s="47"/>
      <c r="H695" s="47"/>
    </row>
    <row r="696" spans="2:8" x14ac:dyDescent="0.2">
      <c r="B696" s="166"/>
      <c r="D696" s="47"/>
      <c r="E696" s="47"/>
      <c r="F696" s="47"/>
      <c r="G696" s="47"/>
      <c r="H696" s="47"/>
    </row>
    <row r="697" spans="2:8" x14ac:dyDescent="0.2">
      <c r="B697" s="166"/>
      <c r="D697" s="47"/>
      <c r="E697" s="47"/>
      <c r="F697" s="47"/>
      <c r="G697" s="47"/>
      <c r="H697" s="47"/>
    </row>
    <row r="698" spans="2:8" x14ac:dyDescent="0.2">
      <c r="B698" s="166"/>
      <c r="D698" s="47"/>
      <c r="E698" s="47"/>
      <c r="F698" s="47"/>
      <c r="G698" s="47"/>
      <c r="H698" s="47"/>
    </row>
    <row r="699" spans="2:8" x14ac:dyDescent="0.2">
      <c r="B699" s="166"/>
      <c r="D699" s="47"/>
      <c r="E699" s="47"/>
      <c r="F699" s="47"/>
      <c r="G699" s="47"/>
      <c r="H699" s="47"/>
    </row>
    <row r="700" spans="2:8" x14ac:dyDescent="0.2">
      <c r="B700" s="166"/>
      <c r="D700" s="47"/>
      <c r="E700" s="47"/>
      <c r="F700" s="47"/>
      <c r="G700" s="47"/>
      <c r="H700" s="47"/>
    </row>
    <row r="701" spans="2:8" x14ac:dyDescent="0.2">
      <c r="B701" s="166"/>
      <c r="D701" s="47"/>
      <c r="E701" s="47"/>
      <c r="F701" s="47"/>
      <c r="G701" s="47"/>
      <c r="H701" s="47"/>
    </row>
    <row r="702" spans="2:8" x14ac:dyDescent="0.2">
      <c r="B702" s="166"/>
      <c r="D702" s="47"/>
      <c r="E702" s="47"/>
      <c r="F702" s="47"/>
      <c r="G702" s="47"/>
      <c r="H702" s="47"/>
    </row>
    <row r="703" spans="2:8" x14ac:dyDescent="0.2">
      <c r="B703" s="166"/>
      <c r="D703" s="47"/>
      <c r="E703" s="47"/>
      <c r="F703" s="47"/>
      <c r="G703" s="47"/>
      <c r="H703" s="47"/>
    </row>
    <row r="704" spans="2:8" x14ac:dyDescent="0.2">
      <c r="B704" s="166"/>
      <c r="D704" s="47"/>
      <c r="E704" s="47"/>
      <c r="F704" s="47"/>
      <c r="G704" s="47"/>
      <c r="H704" s="47"/>
    </row>
    <row r="705" spans="2:8" x14ac:dyDescent="0.2">
      <c r="B705" s="166"/>
      <c r="D705" s="47"/>
      <c r="E705" s="47"/>
      <c r="F705" s="47"/>
      <c r="G705" s="47"/>
      <c r="H705" s="47"/>
    </row>
    <row r="706" spans="2:8" x14ac:dyDescent="0.2">
      <c r="B706" s="166"/>
      <c r="D706" s="47"/>
      <c r="E706" s="47"/>
      <c r="F706" s="47"/>
      <c r="G706" s="47"/>
      <c r="H706" s="47"/>
    </row>
    <row r="707" spans="2:8" x14ac:dyDescent="0.2">
      <c r="B707" s="166"/>
      <c r="D707" s="47"/>
      <c r="E707" s="47"/>
      <c r="F707" s="47"/>
      <c r="G707" s="47"/>
      <c r="H707" s="47"/>
    </row>
    <row r="708" spans="2:8" x14ac:dyDescent="0.2">
      <c r="B708" s="166"/>
      <c r="D708" s="47"/>
      <c r="E708" s="47"/>
      <c r="F708" s="47"/>
      <c r="G708" s="47"/>
      <c r="H708" s="47"/>
    </row>
    <row r="709" spans="2:8" x14ac:dyDescent="0.2">
      <c r="B709" s="166"/>
      <c r="D709" s="47"/>
      <c r="E709" s="47"/>
      <c r="F709" s="47"/>
      <c r="G709" s="47"/>
      <c r="H709" s="47"/>
    </row>
    <row r="710" spans="2:8" x14ac:dyDescent="0.2">
      <c r="B710" s="166"/>
      <c r="D710" s="47"/>
      <c r="E710" s="47"/>
      <c r="F710" s="47"/>
      <c r="G710" s="47"/>
      <c r="H710" s="47"/>
    </row>
    <row r="711" spans="2:8" x14ac:dyDescent="0.2">
      <c r="B711" s="166"/>
      <c r="D711" s="47"/>
      <c r="E711" s="47"/>
      <c r="F711" s="47"/>
      <c r="G711" s="47"/>
      <c r="H711" s="47"/>
    </row>
    <row r="712" spans="2:8" x14ac:dyDescent="0.2">
      <c r="B712" s="166"/>
      <c r="D712" s="47"/>
      <c r="E712" s="47"/>
      <c r="F712" s="47"/>
      <c r="G712" s="47"/>
      <c r="H712" s="47"/>
    </row>
    <row r="713" spans="2:8" x14ac:dyDescent="0.2">
      <c r="B713" s="166"/>
      <c r="D713" s="47"/>
      <c r="E713" s="47"/>
      <c r="F713" s="47"/>
      <c r="G713" s="47"/>
      <c r="H713" s="47"/>
    </row>
    <row r="714" spans="2:8" x14ac:dyDescent="0.2">
      <c r="B714" s="166"/>
      <c r="D714" s="47"/>
      <c r="E714" s="47"/>
      <c r="F714" s="47"/>
      <c r="G714" s="47"/>
      <c r="H714" s="47"/>
    </row>
    <row r="715" spans="2:8" x14ac:dyDescent="0.2">
      <c r="B715" s="166"/>
      <c r="D715" s="47"/>
      <c r="E715" s="47"/>
      <c r="F715" s="47"/>
      <c r="G715" s="47"/>
      <c r="H715" s="47"/>
    </row>
    <row r="716" spans="2:8" x14ac:dyDescent="0.2">
      <c r="B716" s="166"/>
      <c r="D716" s="47"/>
      <c r="E716" s="47"/>
      <c r="F716" s="47"/>
      <c r="G716" s="47"/>
      <c r="H716" s="47"/>
    </row>
    <row r="717" spans="2:8" x14ac:dyDescent="0.2">
      <c r="B717" s="166"/>
      <c r="D717" s="47"/>
      <c r="E717" s="47"/>
      <c r="F717" s="47"/>
      <c r="G717" s="47"/>
      <c r="H717" s="47"/>
    </row>
    <row r="718" spans="2:8" x14ac:dyDescent="0.2">
      <c r="B718" s="166"/>
      <c r="D718" s="47"/>
      <c r="E718" s="47"/>
      <c r="F718" s="47"/>
      <c r="G718" s="47"/>
      <c r="H718" s="47"/>
    </row>
    <row r="719" spans="2:8" x14ac:dyDescent="0.2">
      <c r="B719" s="166"/>
      <c r="D719" s="47"/>
      <c r="E719" s="47"/>
      <c r="F719" s="47"/>
      <c r="G719" s="47"/>
      <c r="H719" s="47"/>
    </row>
    <row r="720" spans="2:8" x14ac:dyDescent="0.2">
      <c r="B720" s="166"/>
      <c r="D720" s="47"/>
      <c r="E720" s="47"/>
      <c r="F720" s="47"/>
      <c r="G720" s="47"/>
      <c r="H720" s="47"/>
    </row>
    <row r="721" spans="2:8" x14ac:dyDescent="0.2">
      <c r="B721" s="166"/>
      <c r="D721" s="47"/>
      <c r="E721" s="47"/>
      <c r="F721" s="47"/>
      <c r="G721" s="47"/>
      <c r="H721" s="47"/>
    </row>
    <row r="722" spans="2:8" x14ac:dyDescent="0.2">
      <c r="B722" s="166"/>
      <c r="D722" s="47"/>
      <c r="E722" s="47"/>
      <c r="F722" s="47"/>
      <c r="G722" s="47"/>
      <c r="H722" s="47"/>
    </row>
    <row r="723" spans="2:8" x14ac:dyDescent="0.2">
      <c r="B723" s="166"/>
      <c r="D723" s="47"/>
      <c r="E723" s="47"/>
      <c r="F723" s="47"/>
      <c r="G723" s="47"/>
      <c r="H723" s="47"/>
    </row>
    <row r="724" spans="2:8" x14ac:dyDescent="0.2">
      <c r="B724" s="166"/>
      <c r="D724" s="47"/>
      <c r="E724" s="47"/>
      <c r="F724" s="47"/>
      <c r="G724" s="47"/>
      <c r="H724" s="47"/>
    </row>
    <row r="725" spans="2:8" x14ac:dyDescent="0.2">
      <c r="B725" s="166"/>
      <c r="D725" s="47"/>
      <c r="E725" s="47"/>
      <c r="F725" s="47"/>
      <c r="G725" s="47"/>
      <c r="H725" s="47"/>
    </row>
    <row r="726" spans="2:8" x14ac:dyDescent="0.2">
      <c r="B726" s="166"/>
      <c r="D726" s="47"/>
      <c r="E726" s="47"/>
      <c r="F726" s="47"/>
      <c r="G726" s="47"/>
      <c r="H726" s="47"/>
    </row>
    <row r="727" spans="2:8" x14ac:dyDescent="0.2">
      <c r="B727" s="166"/>
      <c r="D727" s="47"/>
      <c r="E727" s="47"/>
      <c r="F727" s="47"/>
      <c r="G727" s="47"/>
      <c r="H727" s="47"/>
    </row>
    <row r="728" spans="2:8" x14ac:dyDescent="0.2">
      <c r="B728" s="166"/>
      <c r="D728" s="47"/>
      <c r="E728" s="47"/>
      <c r="F728" s="47"/>
      <c r="G728" s="47"/>
      <c r="H728" s="47"/>
    </row>
    <row r="729" spans="2:8" x14ac:dyDescent="0.2">
      <c r="B729" s="166"/>
      <c r="D729" s="47"/>
      <c r="E729" s="47"/>
      <c r="F729" s="47"/>
      <c r="G729" s="47"/>
      <c r="H729" s="47"/>
    </row>
    <row r="730" spans="2:8" x14ac:dyDescent="0.2">
      <c r="B730" s="166"/>
      <c r="D730" s="47"/>
      <c r="E730" s="47"/>
      <c r="F730" s="47"/>
      <c r="G730" s="47"/>
      <c r="H730" s="47"/>
    </row>
    <row r="731" spans="2:8" x14ac:dyDescent="0.2">
      <c r="B731" s="166"/>
      <c r="D731" s="47"/>
      <c r="E731" s="47"/>
      <c r="F731" s="47"/>
      <c r="G731" s="47"/>
      <c r="H731" s="47"/>
    </row>
    <row r="732" spans="2:8" x14ac:dyDescent="0.2">
      <c r="B732" s="166"/>
      <c r="D732" s="47"/>
      <c r="E732" s="47"/>
      <c r="F732" s="47"/>
      <c r="G732" s="47"/>
      <c r="H732" s="47"/>
    </row>
    <row r="733" spans="2:8" x14ac:dyDescent="0.2">
      <c r="B733" s="166"/>
      <c r="D733" s="47"/>
      <c r="E733" s="47"/>
      <c r="F733" s="47"/>
      <c r="G733" s="47"/>
      <c r="H733" s="47"/>
    </row>
    <row r="734" spans="2:8" x14ac:dyDescent="0.2">
      <c r="B734" s="166"/>
      <c r="D734" s="47"/>
      <c r="E734" s="47"/>
      <c r="F734" s="47"/>
      <c r="G734" s="47"/>
      <c r="H734" s="47"/>
    </row>
    <row r="735" spans="2:8" x14ac:dyDescent="0.2">
      <c r="B735" s="166"/>
      <c r="D735" s="47"/>
      <c r="E735" s="47"/>
      <c r="F735" s="47"/>
      <c r="G735" s="47"/>
      <c r="H735" s="47"/>
    </row>
    <row r="736" spans="2:8" x14ac:dyDescent="0.2">
      <c r="B736" s="166"/>
      <c r="D736" s="47"/>
      <c r="E736" s="47"/>
      <c r="F736" s="47"/>
      <c r="G736" s="47"/>
      <c r="H736" s="47"/>
    </row>
    <row r="737" spans="2:8" x14ac:dyDescent="0.2">
      <c r="B737" s="166"/>
      <c r="D737" s="47"/>
      <c r="E737" s="47"/>
      <c r="F737" s="47"/>
      <c r="G737" s="47"/>
      <c r="H737" s="47"/>
    </row>
    <row r="738" spans="2:8" x14ac:dyDescent="0.2">
      <c r="B738" s="166"/>
      <c r="D738" s="47"/>
      <c r="E738" s="47"/>
      <c r="F738" s="47"/>
      <c r="G738" s="47"/>
      <c r="H738" s="47"/>
    </row>
    <row r="739" spans="2:8" x14ac:dyDescent="0.2">
      <c r="B739" s="166"/>
      <c r="D739" s="47"/>
      <c r="E739" s="47"/>
      <c r="F739" s="47"/>
      <c r="G739" s="47"/>
      <c r="H739" s="47"/>
    </row>
    <row r="740" spans="2:8" x14ac:dyDescent="0.2">
      <c r="B740" s="166"/>
      <c r="D740" s="47"/>
      <c r="E740" s="47"/>
      <c r="F740" s="47"/>
      <c r="G740" s="47"/>
      <c r="H740" s="47"/>
    </row>
    <row r="741" spans="2:8" x14ac:dyDescent="0.2">
      <c r="B741" s="166"/>
      <c r="D741" s="47"/>
      <c r="E741" s="47"/>
      <c r="F741" s="47"/>
      <c r="G741" s="47"/>
      <c r="H741" s="47"/>
    </row>
    <row r="742" spans="2:8" x14ac:dyDescent="0.2">
      <c r="B742" s="166"/>
      <c r="D742" s="47"/>
      <c r="E742" s="47"/>
      <c r="F742" s="47"/>
      <c r="G742" s="47"/>
      <c r="H742" s="47"/>
    </row>
    <row r="743" spans="2:8" x14ac:dyDescent="0.2">
      <c r="B743" s="166"/>
      <c r="D743" s="47"/>
      <c r="E743" s="47"/>
      <c r="F743" s="47"/>
      <c r="G743" s="47"/>
      <c r="H743" s="47"/>
    </row>
    <row r="744" spans="2:8" x14ac:dyDescent="0.2">
      <c r="B744" s="166"/>
      <c r="D744" s="47"/>
      <c r="E744" s="47"/>
      <c r="F744" s="47"/>
      <c r="G744" s="47"/>
      <c r="H744" s="47"/>
    </row>
    <row r="745" spans="2:8" x14ac:dyDescent="0.2">
      <c r="B745" s="166"/>
      <c r="D745" s="47"/>
      <c r="E745" s="47"/>
      <c r="F745" s="47"/>
      <c r="G745" s="47"/>
      <c r="H745" s="47"/>
    </row>
    <row r="746" spans="2:8" x14ac:dyDescent="0.2">
      <c r="B746" s="166"/>
      <c r="D746" s="47"/>
      <c r="E746" s="47"/>
      <c r="F746" s="47"/>
      <c r="G746" s="47"/>
      <c r="H746" s="47"/>
    </row>
    <row r="747" spans="2:8" x14ac:dyDescent="0.2">
      <c r="B747" s="166"/>
      <c r="D747" s="47"/>
      <c r="E747" s="47"/>
      <c r="F747" s="47"/>
      <c r="G747" s="47"/>
      <c r="H747" s="47"/>
    </row>
    <row r="748" spans="2:8" x14ac:dyDescent="0.2">
      <c r="B748" s="166"/>
      <c r="D748" s="47"/>
      <c r="E748" s="47"/>
      <c r="F748" s="47"/>
      <c r="G748" s="47"/>
      <c r="H748" s="47"/>
    </row>
    <row r="749" spans="2:8" x14ac:dyDescent="0.2">
      <c r="B749" s="166"/>
      <c r="D749" s="47"/>
      <c r="E749" s="47"/>
      <c r="F749" s="47"/>
      <c r="G749" s="47"/>
      <c r="H749" s="47"/>
    </row>
    <row r="750" spans="2:8" x14ac:dyDescent="0.2">
      <c r="B750" s="166"/>
      <c r="D750" s="47"/>
      <c r="E750" s="47"/>
      <c r="F750" s="47"/>
      <c r="G750" s="47"/>
      <c r="H750" s="47"/>
    </row>
    <row r="751" spans="2:8" x14ac:dyDescent="0.2">
      <c r="B751" s="166"/>
      <c r="D751" s="47"/>
      <c r="E751" s="47"/>
      <c r="F751" s="47"/>
      <c r="G751" s="47"/>
      <c r="H751" s="47"/>
    </row>
    <row r="752" spans="2:8" x14ac:dyDescent="0.2">
      <c r="B752" s="166"/>
      <c r="D752" s="47"/>
      <c r="E752" s="47"/>
      <c r="F752" s="47"/>
      <c r="G752" s="47"/>
      <c r="H752" s="47"/>
    </row>
    <row r="753" spans="2:8" x14ac:dyDescent="0.2">
      <c r="B753" s="166"/>
      <c r="D753" s="47"/>
      <c r="E753" s="47"/>
      <c r="F753" s="47"/>
      <c r="G753" s="47"/>
      <c r="H753" s="47"/>
    </row>
    <row r="754" spans="2:8" x14ac:dyDescent="0.2">
      <c r="B754" s="166"/>
      <c r="D754" s="47"/>
      <c r="E754" s="47"/>
      <c r="F754" s="47"/>
      <c r="G754" s="47"/>
      <c r="H754" s="47"/>
    </row>
    <row r="755" spans="2:8" x14ac:dyDescent="0.2">
      <c r="B755" s="166"/>
      <c r="D755" s="47"/>
      <c r="E755" s="47"/>
      <c r="F755" s="47"/>
      <c r="G755" s="47"/>
      <c r="H755" s="47"/>
    </row>
    <row r="756" spans="2:8" x14ac:dyDescent="0.2">
      <c r="B756" s="166"/>
      <c r="D756" s="47"/>
      <c r="E756" s="47"/>
      <c r="F756" s="47"/>
      <c r="G756" s="47"/>
      <c r="H756" s="47"/>
    </row>
    <row r="757" spans="2:8" x14ac:dyDescent="0.2">
      <c r="B757" s="166"/>
      <c r="D757" s="47"/>
      <c r="E757" s="47"/>
      <c r="F757" s="47"/>
      <c r="G757" s="47"/>
      <c r="H757" s="47"/>
    </row>
    <row r="758" spans="2:8" x14ac:dyDescent="0.2">
      <c r="B758" s="166"/>
      <c r="D758" s="47"/>
      <c r="E758" s="47"/>
      <c r="F758" s="47"/>
      <c r="G758" s="47"/>
      <c r="H758" s="47"/>
    </row>
    <row r="759" spans="2:8" x14ac:dyDescent="0.2">
      <c r="B759" s="166"/>
      <c r="D759" s="47"/>
      <c r="E759" s="47"/>
      <c r="F759" s="47"/>
      <c r="G759" s="47"/>
      <c r="H759" s="47"/>
    </row>
    <row r="760" spans="2:8" x14ac:dyDescent="0.2">
      <c r="B760" s="166"/>
      <c r="D760" s="47"/>
      <c r="E760" s="47"/>
      <c r="F760" s="47"/>
      <c r="G760" s="47"/>
      <c r="H760" s="47"/>
    </row>
    <row r="761" spans="2:8" x14ac:dyDescent="0.2">
      <c r="B761" s="166"/>
      <c r="D761" s="47"/>
      <c r="E761" s="47"/>
      <c r="F761" s="47"/>
      <c r="G761" s="47"/>
      <c r="H761" s="47"/>
    </row>
    <row r="762" spans="2:8" x14ac:dyDescent="0.2">
      <c r="B762" s="166"/>
      <c r="D762" s="47"/>
      <c r="E762" s="47"/>
      <c r="F762" s="47"/>
      <c r="G762" s="47"/>
      <c r="H762" s="47"/>
    </row>
    <row r="763" spans="2:8" x14ac:dyDescent="0.2">
      <c r="B763" s="166"/>
      <c r="D763" s="47"/>
      <c r="E763" s="47"/>
      <c r="F763" s="47"/>
      <c r="G763" s="47"/>
      <c r="H763" s="47"/>
    </row>
    <row r="764" spans="2:8" x14ac:dyDescent="0.2">
      <c r="B764" s="166"/>
      <c r="D764" s="47"/>
      <c r="E764" s="47"/>
      <c r="F764" s="47"/>
      <c r="G764" s="47"/>
      <c r="H764" s="47"/>
    </row>
    <row r="765" spans="2:8" x14ac:dyDescent="0.2">
      <c r="B765" s="166"/>
      <c r="D765" s="47"/>
      <c r="E765" s="47"/>
      <c r="F765" s="47"/>
      <c r="G765" s="47"/>
      <c r="H765" s="47"/>
    </row>
    <row r="766" spans="2:8" x14ac:dyDescent="0.2">
      <c r="B766" s="166"/>
      <c r="D766" s="47"/>
      <c r="E766" s="47"/>
      <c r="F766" s="47"/>
      <c r="G766" s="47"/>
      <c r="H766" s="47"/>
    </row>
    <row r="767" spans="2:8" x14ac:dyDescent="0.2">
      <c r="B767" s="166"/>
      <c r="D767" s="47"/>
      <c r="E767" s="47"/>
      <c r="F767" s="47"/>
      <c r="G767" s="47"/>
      <c r="H767" s="47"/>
    </row>
    <row r="768" spans="2:8" x14ac:dyDescent="0.2">
      <c r="B768" s="166"/>
      <c r="D768" s="47"/>
      <c r="E768" s="47"/>
      <c r="F768" s="47"/>
      <c r="G768" s="47"/>
      <c r="H768" s="47"/>
    </row>
    <row r="769" spans="2:8" x14ac:dyDescent="0.2">
      <c r="B769" s="166"/>
      <c r="D769" s="47"/>
      <c r="E769" s="47"/>
      <c r="F769" s="47"/>
      <c r="G769" s="47"/>
      <c r="H769" s="47"/>
    </row>
    <row r="770" spans="2:8" x14ac:dyDescent="0.2">
      <c r="B770" s="166"/>
      <c r="D770" s="47"/>
      <c r="E770" s="47"/>
      <c r="F770" s="47"/>
      <c r="G770" s="47"/>
      <c r="H770" s="47"/>
    </row>
    <row r="771" spans="2:8" x14ac:dyDescent="0.2">
      <c r="B771" s="166"/>
      <c r="D771" s="47"/>
      <c r="E771" s="47"/>
      <c r="F771" s="47"/>
      <c r="G771" s="47"/>
      <c r="H771" s="47"/>
    </row>
    <row r="772" spans="2:8" x14ac:dyDescent="0.2">
      <c r="B772" s="166"/>
      <c r="D772" s="47"/>
      <c r="E772" s="47"/>
      <c r="F772" s="47"/>
      <c r="G772" s="47"/>
      <c r="H772" s="47"/>
    </row>
    <row r="773" spans="2:8" x14ac:dyDescent="0.2">
      <c r="B773" s="166"/>
      <c r="D773" s="47"/>
      <c r="E773" s="47"/>
      <c r="F773" s="47"/>
      <c r="G773" s="47"/>
      <c r="H773" s="47"/>
    </row>
    <row r="774" spans="2:8" x14ac:dyDescent="0.2">
      <c r="B774" s="166"/>
      <c r="D774" s="47"/>
      <c r="E774" s="47"/>
      <c r="F774" s="47"/>
      <c r="G774" s="47"/>
      <c r="H774" s="47"/>
    </row>
    <row r="775" spans="2:8" x14ac:dyDescent="0.2">
      <c r="B775" s="166"/>
      <c r="D775" s="47"/>
      <c r="E775" s="47"/>
      <c r="F775" s="47"/>
      <c r="G775" s="47"/>
      <c r="H775" s="47"/>
    </row>
    <row r="776" spans="2:8" x14ac:dyDescent="0.2">
      <c r="B776" s="166"/>
      <c r="D776" s="47"/>
      <c r="E776" s="47"/>
      <c r="F776" s="47"/>
      <c r="G776" s="47"/>
      <c r="H776" s="47"/>
    </row>
    <row r="777" spans="2:8" x14ac:dyDescent="0.2">
      <c r="B777" s="166"/>
      <c r="D777" s="47"/>
      <c r="E777" s="47"/>
      <c r="F777" s="47"/>
      <c r="G777" s="47"/>
      <c r="H777" s="47"/>
    </row>
    <row r="778" spans="2:8" x14ac:dyDescent="0.2">
      <c r="B778" s="166"/>
      <c r="D778" s="47"/>
      <c r="E778" s="47"/>
      <c r="F778" s="47"/>
      <c r="G778" s="47"/>
      <c r="H778" s="47"/>
    </row>
    <row r="779" spans="2:8" x14ac:dyDescent="0.2">
      <c r="B779" s="166"/>
      <c r="D779" s="47"/>
      <c r="E779" s="47"/>
      <c r="F779" s="47"/>
      <c r="G779" s="47"/>
      <c r="H779" s="47"/>
    </row>
    <row r="780" spans="2:8" x14ac:dyDescent="0.2">
      <c r="B780" s="166"/>
      <c r="D780" s="47"/>
      <c r="E780" s="47"/>
      <c r="F780" s="47"/>
      <c r="G780" s="47"/>
      <c r="H780" s="47"/>
    </row>
    <row r="781" spans="2:8" x14ac:dyDescent="0.2">
      <c r="B781" s="166"/>
      <c r="D781" s="47"/>
      <c r="E781" s="47"/>
      <c r="F781" s="47"/>
      <c r="G781" s="47"/>
      <c r="H781" s="47"/>
    </row>
    <row r="782" spans="2:8" x14ac:dyDescent="0.2">
      <c r="B782" s="166"/>
      <c r="D782" s="47"/>
      <c r="E782" s="47"/>
      <c r="F782" s="47"/>
      <c r="G782" s="47"/>
      <c r="H782" s="47"/>
    </row>
    <row r="783" spans="2:8" x14ac:dyDescent="0.2">
      <c r="B783" s="166"/>
      <c r="D783" s="47"/>
      <c r="E783" s="47"/>
      <c r="F783" s="47"/>
      <c r="G783" s="47"/>
      <c r="H783" s="47"/>
    </row>
    <row r="784" spans="2:8" x14ac:dyDescent="0.2">
      <c r="B784" s="166"/>
      <c r="D784" s="47"/>
      <c r="E784" s="47"/>
      <c r="F784" s="47"/>
      <c r="G784" s="47"/>
      <c r="H784" s="47"/>
    </row>
    <row r="785" spans="2:8" x14ac:dyDescent="0.2">
      <c r="B785" s="166"/>
      <c r="D785" s="47"/>
      <c r="E785" s="47"/>
      <c r="F785" s="47"/>
      <c r="G785" s="47"/>
      <c r="H785" s="47"/>
    </row>
    <row r="786" spans="2:8" x14ac:dyDescent="0.2">
      <c r="B786" s="166"/>
      <c r="D786" s="47"/>
      <c r="E786" s="47"/>
      <c r="F786" s="47"/>
      <c r="G786" s="47"/>
      <c r="H786" s="47"/>
    </row>
    <row r="787" spans="2:8" x14ac:dyDescent="0.2">
      <c r="B787" s="166"/>
      <c r="D787" s="47"/>
      <c r="E787" s="47"/>
      <c r="F787" s="47"/>
      <c r="G787" s="47"/>
      <c r="H787" s="47"/>
    </row>
    <row r="788" spans="2:8" x14ac:dyDescent="0.2">
      <c r="B788" s="166"/>
      <c r="D788" s="47"/>
      <c r="E788" s="47"/>
      <c r="F788" s="47"/>
      <c r="G788" s="47"/>
      <c r="H788" s="47"/>
    </row>
    <row r="789" spans="2:8" x14ac:dyDescent="0.2">
      <c r="B789" s="166"/>
      <c r="D789" s="47"/>
      <c r="E789" s="47"/>
      <c r="F789" s="47"/>
      <c r="G789" s="47"/>
      <c r="H789" s="47"/>
    </row>
    <row r="790" spans="2:8" x14ac:dyDescent="0.2">
      <c r="B790" s="166"/>
      <c r="D790" s="47"/>
      <c r="E790" s="47"/>
      <c r="F790" s="47"/>
      <c r="G790" s="47"/>
      <c r="H790" s="47"/>
    </row>
    <row r="791" spans="2:8" x14ac:dyDescent="0.2">
      <c r="B791" s="166"/>
      <c r="D791" s="47"/>
      <c r="E791" s="47"/>
      <c r="F791" s="47"/>
      <c r="G791" s="47"/>
      <c r="H791" s="47"/>
    </row>
    <row r="792" spans="2:8" x14ac:dyDescent="0.2">
      <c r="B792" s="166"/>
      <c r="D792" s="47"/>
      <c r="E792" s="47"/>
      <c r="F792" s="47"/>
      <c r="G792" s="47"/>
      <c r="H792" s="47"/>
    </row>
    <row r="793" spans="2:8" x14ac:dyDescent="0.2">
      <c r="B793" s="166"/>
      <c r="D793" s="47"/>
      <c r="E793" s="47"/>
      <c r="F793" s="47"/>
      <c r="G793" s="47"/>
      <c r="H793" s="47"/>
    </row>
    <row r="794" spans="2:8" x14ac:dyDescent="0.2">
      <c r="B794" s="166"/>
      <c r="D794" s="47"/>
      <c r="E794" s="47"/>
      <c r="F794" s="47"/>
      <c r="G794" s="47"/>
      <c r="H794" s="47"/>
    </row>
    <row r="795" spans="2:8" x14ac:dyDescent="0.2">
      <c r="B795" s="166"/>
      <c r="D795" s="47"/>
      <c r="E795" s="47"/>
      <c r="F795" s="47"/>
      <c r="G795" s="47"/>
      <c r="H795" s="47"/>
    </row>
    <row r="796" spans="2:8" x14ac:dyDescent="0.2">
      <c r="B796" s="166"/>
      <c r="D796" s="47"/>
      <c r="E796" s="47"/>
      <c r="F796" s="47"/>
      <c r="G796" s="47"/>
      <c r="H796" s="47"/>
    </row>
    <row r="797" spans="2:8" x14ac:dyDescent="0.2">
      <c r="B797" s="166"/>
      <c r="D797" s="47"/>
      <c r="E797" s="47"/>
      <c r="F797" s="47"/>
      <c r="G797" s="47"/>
      <c r="H797" s="47"/>
    </row>
    <row r="798" spans="2:8" x14ac:dyDescent="0.2">
      <c r="B798" s="166"/>
      <c r="D798" s="47"/>
      <c r="E798" s="47"/>
      <c r="F798" s="47"/>
      <c r="G798" s="47"/>
      <c r="H798" s="47"/>
    </row>
    <row r="799" spans="2:8" x14ac:dyDescent="0.2">
      <c r="B799" s="166"/>
      <c r="D799" s="47"/>
      <c r="E799" s="47"/>
      <c r="F799" s="47"/>
      <c r="G799" s="47"/>
      <c r="H799" s="47"/>
    </row>
    <row r="800" spans="2:8" x14ac:dyDescent="0.2">
      <c r="B800" s="166"/>
      <c r="D800" s="47"/>
      <c r="E800" s="47"/>
      <c r="F800" s="47"/>
      <c r="G800" s="47"/>
      <c r="H800" s="47"/>
    </row>
    <row r="801" spans="2:8" x14ac:dyDescent="0.2">
      <c r="B801" s="166"/>
      <c r="D801" s="47"/>
      <c r="E801" s="47"/>
      <c r="F801" s="47"/>
      <c r="G801" s="47"/>
      <c r="H801" s="47"/>
    </row>
    <row r="802" spans="2:8" x14ac:dyDescent="0.2">
      <c r="B802" s="166"/>
      <c r="D802" s="47"/>
      <c r="E802" s="47"/>
      <c r="F802" s="47"/>
      <c r="G802" s="47"/>
      <c r="H802" s="47"/>
    </row>
    <row r="803" spans="2:8" x14ac:dyDescent="0.2">
      <c r="B803" s="166"/>
      <c r="D803" s="47"/>
      <c r="E803" s="47"/>
      <c r="F803" s="47"/>
      <c r="G803" s="47"/>
      <c r="H803" s="47"/>
    </row>
    <row r="804" spans="2:8" x14ac:dyDescent="0.2">
      <c r="B804" s="166"/>
      <c r="D804" s="47"/>
      <c r="E804" s="47"/>
      <c r="F804" s="47"/>
      <c r="G804" s="47"/>
      <c r="H804" s="47"/>
    </row>
    <row r="805" spans="2:8" x14ac:dyDescent="0.2">
      <c r="B805" s="166"/>
      <c r="D805" s="47"/>
      <c r="E805" s="47"/>
      <c r="F805" s="47"/>
      <c r="G805" s="47"/>
      <c r="H805" s="47"/>
    </row>
    <row r="806" spans="2:8" x14ac:dyDescent="0.2">
      <c r="B806" s="166"/>
      <c r="D806" s="47"/>
      <c r="E806" s="47"/>
      <c r="F806" s="47"/>
      <c r="G806" s="47"/>
      <c r="H806" s="47"/>
    </row>
    <row r="807" spans="2:8" x14ac:dyDescent="0.2">
      <c r="B807" s="166"/>
      <c r="D807" s="47"/>
      <c r="E807" s="47"/>
      <c r="F807" s="47"/>
      <c r="G807" s="47"/>
      <c r="H807" s="47"/>
    </row>
    <row r="808" spans="2:8" x14ac:dyDescent="0.2">
      <c r="B808" s="166"/>
      <c r="D808" s="47"/>
      <c r="E808" s="47"/>
      <c r="F808" s="47"/>
      <c r="G808" s="47"/>
      <c r="H808" s="47"/>
    </row>
    <row r="809" spans="2:8" x14ac:dyDescent="0.2">
      <c r="B809" s="166"/>
      <c r="D809" s="47"/>
      <c r="E809" s="47"/>
      <c r="F809" s="47"/>
      <c r="G809" s="47"/>
      <c r="H809" s="47"/>
    </row>
    <row r="810" spans="2:8" x14ac:dyDescent="0.2">
      <c r="B810" s="166"/>
      <c r="D810" s="47"/>
      <c r="E810" s="47"/>
      <c r="F810" s="47"/>
      <c r="G810" s="47"/>
      <c r="H810" s="47"/>
    </row>
    <row r="811" spans="2:8" x14ac:dyDescent="0.2">
      <c r="B811" s="166"/>
      <c r="D811" s="47"/>
      <c r="E811" s="47"/>
      <c r="F811" s="47"/>
      <c r="G811" s="47"/>
      <c r="H811" s="47"/>
    </row>
    <row r="812" spans="2:8" x14ac:dyDescent="0.2">
      <c r="B812" s="166"/>
      <c r="D812" s="47"/>
      <c r="E812" s="47"/>
      <c r="F812" s="47"/>
      <c r="G812" s="47"/>
      <c r="H812" s="47"/>
    </row>
    <row r="813" spans="2:8" x14ac:dyDescent="0.2">
      <c r="B813" s="166"/>
      <c r="D813" s="47"/>
      <c r="E813" s="47"/>
      <c r="F813" s="47"/>
      <c r="G813" s="47"/>
      <c r="H813" s="47"/>
    </row>
    <row r="814" spans="2:8" x14ac:dyDescent="0.2">
      <c r="B814" s="166"/>
      <c r="D814" s="47"/>
      <c r="E814" s="47"/>
      <c r="F814" s="47"/>
      <c r="G814" s="47"/>
      <c r="H814" s="47"/>
    </row>
    <row r="815" spans="2:8" x14ac:dyDescent="0.2">
      <c r="B815" s="166"/>
      <c r="D815" s="47"/>
      <c r="E815" s="47"/>
      <c r="F815" s="47"/>
      <c r="G815" s="47"/>
      <c r="H815" s="47"/>
    </row>
    <row r="816" spans="2:8" x14ac:dyDescent="0.2">
      <c r="B816" s="166"/>
      <c r="D816" s="47"/>
      <c r="E816" s="47"/>
      <c r="F816" s="47"/>
      <c r="G816" s="47"/>
      <c r="H816" s="47"/>
    </row>
    <row r="817" spans="2:8" x14ac:dyDescent="0.2">
      <c r="B817" s="166"/>
      <c r="D817" s="47"/>
      <c r="E817" s="47"/>
      <c r="F817" s="47"/>
      <c r="G817" s="47"/>
      <c r="H817" s="47"/>
    </row>
    <row r="818" spans="2:8" x14ac:dyDescent="0.2">
      <c r="B818" s="166"/>
      <c r="D818" s="47"/>
      <c r="E818" s="47"/>
      <c r="F818" s="47"/>
      <c r="G818" s="47"/>
      <c r="H818" s="47"/>
    </row>
    <row r="819" spans="2:8" x14ac:dyDescent="0.2">
      <c r="B819" s="166"/>
      <c r="D819" s="47"/>
      <c r="E819" s="47"/>
      <c r="F819" s="47"/>
      <c r="G819" s="47"/>
      <c r="H819" s="47"/>
    </row>
    <row r="820" spans="2:8" x14ac:dyDescent="0.2">
      <c r="B820" s="166"/>
      <c r="D820" s="47"/>
      <c r="E820" s="47"/>
      <c r="F820" s="47"/>
      <c r="G820" s="47"/>
      <c r="H820" s="47"/>
    </row>
    <row r="821" spans="2:8" x14ac:dyDescent="0.2">
      <c r="B821" s="166"/>
      <c r="D821" s="47"/>
      <c r="E821" s="47"/>
      <c r="F821" s="47"/>
      <c r="G821" s="47"/>
      <c r="H821" s="47"/>
    </row>
    <row r="822" spans="2:8" x14ac:dyDescent="0.2">
      <c r="B822" s="166"/>
      <c r="D822" s="47"/>
      <c r="E822" s="47"/>
      <c r="F822" s="47"/>
      <c r="G822" s="47"/>
      <c r="H822" s="47"/>
    </row>
    <row r="823" spans="2:8" x14ac:dyDescent="0.2">
      <c r="B823" s="166"/>
      <c r="D823" s="47"/>
      <c r="E823" s="47"/>
      <c r="F823" s="47"/>
      <c r="G823" s="47"/>
      <c r="H823" s="47"/>
    </row>
    <row r="824" spans="2:8" x14ac:dyDescent="0.2">
      <c r="B824" s="166"/>
      <c r="D824" s="47"/>
      <c r="E824" s="47"/>
      <c r="F824" s="47"/>
      <c r="G824" s="47"/>
      <c r="H824" s="47"/>
    </row>
    <row r="825" spans="2:8" x14ac:dyDescent="0.2">
      <c r="B825" s="166"/>
      <c r="D825" s="47"/>
      <c r="E825" s="47"/>
      <c r="F825" s="47"/>
      <c r="G825" s="47"/>
      <c r="H825" s="47"/>
    </row>
    <row r="826" spans="2:8" x14ac:dyDescent="0.2">
      <c r="B826" s="166"/>
      <c r="D826" s="47"/>
      <c r="E826" s="47"/>
      <c r="F826" s="47"/>
      <c r="G826" s="47"/>
      <c r="H826" s="47"/>
    </row>
    <row r="827" spans="2:8" x14ac:dyDescent="0.2">
      <c r="B827" s="166"/>
      <c r="D827" s="47"/>
      <c r="E827" s="47"/>
      <c r="F827" s="47"/>
      <c r="G827" s="47"/>
      <c r="H827" s="47"/>
    </row>
    <row r="828" spans="2:8" x14ac:dyDescent="0.2">
      <c r="B828" s="166"/>
      <c r="D828" s="47"/>
      <c r="E828" s="47"/>
      <c r="F828" s="47"/>
      <c r="G828" s="47"/>
      <c r="H828" s="47"/>
    </row>
    <row r="829" spans="2:8" x14ac:dyDescent="0.2">
      <c r="B829" s="166"/>
      <c r="D829" s="47"/>
      <c r="E829" s="47"/>
      <c r="F829" s="47"/>
      <c r="G829" s="47"/>
      <c r="H829" s="47"/>
    </row>
    <row r="830" spans="2:8" x14ac:dyDescent="0.2">
      <c r="B830" s="166"/>
      <c r="D830" s="47"/>
      <c r="E830" s="47"/>
      <c r="F830" s="47"/>
      <c r="G830" s="47"/>
      <c r="H830" s="47"/>
    </row>
    <row r="831" spans="2:8" x14ac:dyDescent="0.2">
      <c r="B831" s="166"/>
      <c r="D831" s="47"/>
      <c r="E831" s="47"/>
      <c r="F831" s="47"/>
      <c r="G831" s="47"/>
      <c r="H831" s="47"/>
    </row>
    <row r="832" spans="2:8" x14ac:dyDescent="0.2">
      <c r="B832" s="166"/>
      <c r="D832" s="47"/>
      <c r="E832" s="47"/>
      <c r="F832" s="47"/>
      <c r="G832" s="47"/>
      <c r="H832" s="47"/>
    </row>
    <row r="833" spans="2:8" x14ac:dyDescent="0.2">
      <c r="B833" s="166"/>
      <c r="D833" s="47"/>
      <c r="E833" s="47"/>
      <c r="F833" s="47"/>
      <c r="G833" s="47"/>
      <c r="H833" s="47"/>
    </row>
    <row r="834" spans="2:8" x14ac:dyDescent="0.2">
      <c r="B834" s="166"/>
      <c r="D834" s="47"/>
      <c r="E834" s="47"/>
      <c r="F834" s="47"/>
      <c r="G834" s="47"/>
      <c r="H834" s="47"/>
    </row>
    <row r="835" spans="2:8" x14ac:dyDescent="0.2">
      <c r="B835" s="166"/>
      <c r="D835" s="47"/>
      <c r="E835" s="47"/>
      <c r="F835" s="47"/>
      <c r="G835" s="47"/>
      <c r="H835" s="47"/>
    </row>
    <row r="836" spans="2:8" x14ac:dyDescent="0.2">
      <c r="B836" s="166"/>
      <c r="D836" s="47"/>
      <c r="E836" s="47"/>
      <c r="F836" s="47"/>
      <c r="G836" s="47"/>
      <c r="H836" s="47"/>
    </row>
    <row r="837" spans="2:8" x14ac:dyDescent="0.2">
      <c r="B837" s="166"/>
      <c r="D837" s="47"/>
      <c r="E837" s="47"/>
      <c r="F837" s="47"/>
      <c r="G837" s="47"/>
      <c r="H837" s="47"/>
    </row>
    <row r="838" spans="2:8" x14ac:dyDescent="0.2">
      <c r="B838" s="166"/>
      <c r="D838" s="47"/>
      <c r="E838" s="47"/>
      <c r="F838" s="47"/>
      <c r="G838" s="47"/>
      <c r="H838" s="47"/>
    </row>
    <row r="839" spans="2:8" x14ac:dyDescent="0.2">
      <c r="B839" s="166"/>
      <c r="D839" s="47"/>
      <c r="E839" s="47"/>
      <c r="F839" s="47"/>
      <c r="G839" s="47"/>
      <c r="H839" s="47"/>
    </row>
    <row r="840" spans="2:8" x14ac:dyDescent="0.2">
      <c r="B840" s="166"/>
      <c r="D840" s="47"/>
      <c r="E840" s="47"/>
      <c r="F840" s="47"/>
      <c r="G840" s="47"/>
      <c r="H840" s="47"/>
    </row>
    <row r="841" spans="2:8" x14ac:dyDescent="0.2">
      <c r="B841" s="166"/>
      <c r="D841" s="47"/>
      <c r="E841" s="47"/>
      <c r="F841" s="47"/>
      <c r="G841" s="47"/>
      <c r="H841" s="47"/>
    </row>
    <row r="842" spans="2:8" x14ac:dyDescent="0.2">
      <c r="B842" s="166"/>
      <c r="D842" s="47"/>
      <c r="E842" s="47"/>
      <c r="F842" s="47"/>
      <c r="G842" s="47"/>
      <c r="H842" s="47"/>
    </row>
    <row r="843" spans="2:8" x14ac:dyDescent="0.2">
      <c r="B843" s="166"/>
      <c r="D843" s="47"/>
      <c r="E843" s="47"/>
      <c r="F843" s="47"/>
      <c r="G843" s="47"/>
      <c r="H843" s="47"/>
    </row>
    <row r="844" spans="2:8" x14ac:dyDescent="0.2">
      <c r="B844" s="166"/>
      <c r="D844" s="47"/>
      <c r="E844" s="47"/>
      <c r="F844" s="47"/>
      <c r="G844" s="47"/>
      <c r="H844" s="47"/>
    </row>
    <row r="845" spans="2:8" x14ac:dyDescent="0.2">
      <c r="B845" s="166"/>
      <c r="D845" s="47"/>
      <c r="E845" s="47"/>
      <c r="F845" s="47"/>
      <c r="G845" s="47"/>
      <c r="H845" s="47"/>
    </row>
    <row r="846" spans="2:8" x14ac:dyDescent="0.2">
      <c r="B846" s="166"/>
      <c r="D846" s="47"/>
      <c r="E846" s="47"/>
      <c r="F846" s="47"/>
      <c r="G846" s="47"/>
      <c r="H846" s="47"/>
    </row>
    <row r="847" spans="2:8" x14ac:dyDescent="0.2">
      <c r="B847" s="166"/>
      <c r="D847" s="47"/>
      <c r="E847" s="47"/>
      <c r="F847" s="47"/>
      <c r="G847" s="47"/>
      <c r="H847" s="47"/>
    </row>
    <row r="848" spans="2:8" x14ac:dyDescent="0.2">
      <c r="B848" s="166"/>
      <c r="D848" s="47"/>
      <c r="E848" s="47"/>
      <c r="F848" s="47"/>
      <c r="G848" s="47"/>
      <c r="H848" s="47"/>
    </row>
    <row r="849" spans="2:8" x14ac:dyDescent="0.2">
      <c r="B849" s="166"/>
      <c r="D849" s="47"/>
      <c r="E849" s="47"/>
      <c r="F849" s="47"/>
      <c r="G849" s="47"/>
      <c r="H849" s="47"/>
    </row>
    <row r="850" spans="2:8" x14ac:dyDescent="0.2">
      <c r="B850" s="166"/>
      <c r="D850" s="47"/>
      <c r="E850" s="47"/>
      <c r="F850" s="47"/>
      <c r="G850" s="47"/>
      <c r="H850" s="47"/>
    </row>
    <row r="851" spans="2:8" x14ac:dyDescent="0.2">
      <c r="B851" s="166"/>
      <c r="D851" s="47"/>
      <c r="E851" s="47"/>
      <c r="F851" s="47"/>
      <c r="G851" s="47"/>
      <c r="H851" s="47"/>
    </row>
    <row r="852" spans="2:8" x14ac:dyDescent="0.2">
      <c r="B852" s="166"/>
      <c r="D852" s="47"/>
      <c r="E852" s="47"/>
      <c r="F852" s="47"/>
      <c r="G852" s="47"/>
      <c r="H852" s="47"/>
    </row>
    <row r="853" spans="2:8" x14ac:dyDescent="0.2">
      <c r="B853" s="166"/>
      <c r="D853" s="47"/>
      <c r="E853" s="47"/>
      <c r="F853" s="47"/>
      <c r="G853" s="47"/>
      <c r="H853" s="47"/>
    </row>
    <row r="854" spans="2:8" x14ac:dyDescent="0.2">
      <c r="B854" s="166"/>
      <c r="D854" s="47"/>
      <c r="E854" s="47"/>
      <c r="F854" s="47"/>
      <c r="G854" s="47"/>
      <c r="H854" s="47"/>
    </row>
    <row r="855" spans="2:8" x14ac:dyDescent="0.2">
      <c r="B855" s="166"/>
      <c r="D855" s="47"/>
      <c r="E855" s="47"/>
      <c r="F855" s="47"/>
      <c r="G855" s="47"/>
      <c r="H855" s="47"/>
    </row>
    <row r="856" spans="2:8" x14ac:dyDescent="0.2">
      <c r="B856" s="166"/>
      <c r="D856" s="47"/>
      <c r="E856" s="47"/>
      <c r="F856" s="47"/>
      <c r="G856" s="47"/>
      <c r="H856" s="47"/>
    </row>
    <row r="857" spans="2:8" x14ac:dyDescent="0.2">
      <c r="B857" s="166"/>
      <c r="D857" s="47"/>
      <c r="E857" s="47"/>
      <c r="F857" s="47"/>
      <c r="G857" s="47"/>
      <c r="H857" s="47"/>
    </row>
    <row r="858" spans="2:8" x14ac:dyDescent="0.2">
      <c r="B858" s="166"/>
      <c r="D858" s="47"/>
      <c r="E858" s="47"/>
      <c r="F858" s="47"/>
      <c r="G858" s="47"/>
      <c r="H858" s="47"/>
    </row>
    <row r="859" spans="2:8" x14ac:dyDescent="0.2">
      <c r="B859" s="166"/>
      <c r="D859" s="47"/>
      <c r="E859" s="47"/>
      <c r="F859" s="47"/>
      <c r="G859" s="47"/>
      <c r="H859" s="47"/>
    </row>
    <row r="860" spans="2:8" x14ac:dyDescent="0.2">
      <c r="B860" s="166"/>
      <c r="D860" s="47"/>
      <c r="E860" s="47"/>
      <c r="F860" s="47"/>
      <c r="G860" s="47"/>
      <c r="H860" s="47"/>
    </row>
    <row r="861" spans="2:8" x14ac:dyDescent="0.2">
      <c r="B861" s="166"/>
      <c r="D861" s="47"/>
      <c r="E861" s="47"/>
      <c r="F861" s="47"/>
      <c r="G861" s="47"/>
      <c r="H861" s="47"/>
    </row>
    <row r="862" spans="2:8" x14ac:dyDescent="0.2">
      <c r="B862" s="166"/>
      <c r="D862" s="47"/>
      <c r="E862" s="47"/>
      <c r="F862" s="47"/>
      <c r="G862" s="47"/>
      <c r="H862" s="47"/>
    </row>
    <row r="863" spans="2:8" x14ac:dyDescent="0.2">
      <c r="B863" s="166"/>
      <c r="D863" s="47"/>
      <c r="E863" s="47"/>
      <c r="F863" s="47"/>
      <c r="G863" s="47"/>
      <c r="H863" s="47"/>
    </row>
    <row r="864" spans="2:8" x14ac:dyDescent="0.2">
      <c r="B864" s="166"/>
      <c r="D864" s="47"/>
      <c r="E864" s="47"/>
      <c r="F864" s="47"/>
      <c r="G864" s="47"/>
      <c r="H864" s="47"/>
    </row>
    <row r="865" spans="2:8" x14ac:dyDescent="0.2">
      <c r="B865" s="166"/>
      <c r="D865" s="47"/>
      <c r="E865" s="47"/>
      <c r="F865" s="47"/>
      <c r="G865" s="47"/>
      <c r="H865" s="47"/>
    </row>
    <row r="866" spans="2:8" x14ac:dyDescent="0.2">
      <c r="B866" s="166"/>
      <c r="D866" s="47"/>
      <c r="E866" s="47"/>
      <c r="F866" s="47"/>
      <c r="G866" s="47"/>
      <c r="H866" s="47"/>
    </row>
    <row r="867" spans="2:8" x14ac:dyDescent="0.2">
      <c r="B867" s="166"/>
      <c r="D867" s="47"/>
      <c r="E867" s="47"/>
      <c r="F867" s="47"/>
      <c r="G867" s="47"/>
      <c r="H867" s="47"/>
    </row>
    <row r="868" spans="2:8" x14ac:dyDescent="0.2">
      <c r="B868" s="166"/>
      <c r="D868" s="47"/>
      <c r="E868" s="47"/>
      <c r="F868" s="47"/>
      <c r="G868" s="47"/>
      <c r="H868" s="47"/>
    </row>
    <row r="869" spans="2:8" x14ac:dyDescent="0.2">
      <c r="B869" s="166"/>
      <c r="D869" s="47"/>
      <c r="E869" s="47"/>
      <c r="F869" s="47"/>
      <c r="G869" s="47"/>
      <c r="H869" s="47"/>
    </row>
    <row r="870" spans="2:8" x14ac:dyDescent="0.2">
      <c r="B870" s="166"/>
      <c r="D870" s="47"/>
      <c r="E870" s="47"/>
      <c r="F870" s="47"/>
      <c r="G870" s="47"/>
      <c r="H870" s="47"/>
    </row>
    <row r="871" spans="2:8" x14ac:dyDescent="0.2">
      <c r="B871" s="166"/>
      <c r="D871" s="47"/>
      <c r="E871" s="47"/>
      <c r="F871" s="47"/>
      <c r="G871" s="47"/>
      <c r="H871" s="47"/>
    </row>
    <row r="872" spans="2:8" x14ac:dyDescent="0.2">
      <c r="B872" s="166"/>
      <c r="D872" s="47"/>
      <c r="E872" s="47"/>
      <c r="F872" s="47"/>
      <c r="G872" s="47"/>
      <c r="H872" s="47"/>
    </row>
    <row r="873" spans="2:8" x14ac:dyDescent="0.2">
      <c r="B873" s="166"/>
      <c r="D873" s="47"/>
      <c r="E873" s="47"/>
      <c r="F873" s="47"/>
      <c r="G873" s="47"/>
      <c r="H873" s="47"/>
    </row>
    <row r="874" spans="2:8" x14ac:dyDescent="0.2">
      <c r="B874" s="166"/>
      <c r="D874" s="47"/>
      <c r="E874" s="47"/>
      <c r="F874" s="47"/>
      <c r="G874" s="47"/>
      <c r="H874" s="47"/>
    </row>
    <row r="875" spans="2:8" x14ac:dyDescent="0.2">
      <c r="B875" s="166"/>
      <c r="D875" s="47"/>
      <c r="E875" s="47"/>
      <c r="F875" s="47"/>
      <c r="G875" s="47"/>
      <c r="H875" s="47"/>
    </row>
    <row r="876" spans="2:8" x14ac:dyDescent="0.2">
      <c r="B876" s="166"/>
      <c r="D876" s="47"/>
      <c r="E876" s="47"/>
      <c r="F876" s="47"/>
      <c r="G876" s="47"/>
      <c r="H876" s="47"/>
    </row>
    <row r="877" spans="2:8" x14ac:dyDescent="0.2">
      <c r="B877" s="166"/>
      <c r="D877" s="47"/>
      <c r="E877" s="47"/>
      <c r="F877" s="47"/>
      <c r="G877" s="47"/>
      <c r="H877" s="47"/>
    </row>
    <row r="878" spans="2:8" x14ac:dyDescent="0.2">
      <c r="B878" s="166"/>
      <c r="D878" s="47"/>
      <c r="E878" s="47"/>
      <c r="F878" s="47"/>
      <c r="G878" s="47"/>
      <c r="H878" s="47"/>
    </row>
    <row r="879" spans="2:8" x14ac:dyDescent="0.2">
      <c r="B879" s="166"/>
      <c r="D879" s="47"/>
      <c r="E879" s="47"/>
      <c r="F879" s="47"/>
      <c r="G879" s="47"/>
      <c r="H879" s="47"/>
    </row>
    <row r="880" spans="2:8" x14ac:dyDescent="0.2">
      <c r="B880" s="166"/>
      <c r="D880" s="47"/>
      <c r="E880" s="47"/>
      <c r="F880" s="47"/>
      <c r="G880" s="47"/>
      <c r="H880" s="47"/>
    </row>
    <row r="881" spans="2:8" x14ac:dyDescent="0.2">
      <c r="B881" s="166"/>
      <c r="D881" s="47"/>
      <c r="E881" s="47"/>
      <c r="F881" s="47"/>
      <c r="G881" s="47"/>
      <c r="H881" s="47"/>
    </row>
    <row r="882" spans="2:8" x14ac:dyDescent="0.2">
      <c r="B882" s="166"/>
      <c r="D882" s="47"/>
      <c r="E882" s="47"/>
      <c r="F882" s="47"/>
      <c r="G882" s="47"/>
      <c r="H882" s="47"/>
    </row>
    <row r="883" spans="2:8" x14ac:dyDescent="0.2">
      <c r="B883" s="166"/>
      <c r="D883" s="47"/>
      <c r="E883" s="47"/>
      <c r="F883" s="47"/>
      <c r="G883" s="47"/>
      <c r="H883" s="47"/>
    </row>
    <row r="884" spans="2:8" x14ac:dyDescent="0.2">
      <c r="B884" s="166"/>
      <c r="D884" s="47"/>
      <c r="E884" s="47"/>
      <c r="F884" s="47"/>
      <c r="G884" s="47"/>
      <c r="H884" s="47"/>
    </row>
    <row r="885" spans="2:8" x14ac:dyDescent="0.2">
      <c r="B885" s="166"/>
      <c r="D885" s="47"/>
      <c r="E885" s="47"/>
      <c r="F885" s="47"/>
      <c r="G885" s="47"/>
      <c r="H885" s="47"/>
    </row>
    <row r="886" spans="2:8" x14ac:dyDescent="0.2">
      <c r="B886" s="166"/>
      <c r="D886" s="47"/>
      <c r="E886" s="47"/>
      <c r="F886" s="47"/>
      <c r="G886" s="47"/>
      <c r="H886" s="47"/>
    </row>
    <row r="887" spans="2:8" x14ac:dyDescent="0.2">
      <c r="B887" s="166"/>
      <c r="D887" s="47"/>
      <c r="E887" s="47"/>
      <c r="F887" s="47"/>
      <c r="G887" s="47"/>
      <c r="H887" s="47"/>
    </row>
    <row r="888" spans="2:8" x14ac:dyDescent="0.2">
      <c r="B888" s="166"/>
      <c r="D888" s="47"/>
      <c r="E888" s="47"/>
      <c r="F888" s="47"/>
      <c r="G888" s="47"/>
      <c r="H888" s="47"/>
    </row>
    <row r="889" spans="2:8" x14ac:dyDescent="0.2">
      <c r="B889" s="166"/>
      <c r="D889" s="47"/>
      <c r="E889" s="47"/>
      <c r="F889" s="47"/>
      <c r="G889" s="47"/>
      <c r="H889" s="47"/>
    </row>
    <row r="890" spans="2:8" x14ac:dyDescent="0.2">
      <c r="B890" s="166"/>
      <c r="D890" s="47"/>
      <c r="E890" s="47"/>
      <c r="F890" s="47"/>
      <c r="G890" s="47"/>
      <c r="H890" s="47"/>
    </row>
    <row r="891" spans="2:8" x14ac:dyDescent="0.2">
      <c r="B891" s="166"/>
      <c r="D891" s="47"/>
      <c r="E891" s="47"/>
      <c r="F891" s="47"/>
      <c r="G891" s="47"/>
      <c r="H891" s="47"/>
    </row>
    <row r="892" spans="2:8" x14ac:dyDescent="0.2">
      <c r="B892" s="166"/>
      <c r="D892" s="47"/>
      <c r="E892" s="47"/>
      <c r="F892" s="47"/>
      <c r="G892" s="47"/>
      <c r="H892" s="47"/>
    </row>
    <row r="893" spans="2:8" x14ac:dyDescent="0.2">
      <c r="B893" s="166"/>
      <c r="D893" s="47"/>
      <c r="E893" s="47"/>
      <c r="F893" s="47"/>
      <c r="G893" s="47"/>
      <c r="H893" s="47"/>
    </row>
    <row r="894" spans="2:8" x14ac:dyDescent="0.2">
      <c r="B894" s="166"/>
      <c r="D894" s="47"/>
      <c r="E894" s="47"/>
      <c r="F894" s="47"/>
      <c r="G894" s="47"/>
      <c r="H894" s="47"/>
    </row>
    <row r="895" spans="2:8" x14ac:dyDescent="0.2">
      <c r="B895" s="166"/>
      <c r="D895" s="47"/>
      <c r="E895" s="47"/>
      <c r="F895" s="47"/>
      <c r="G895" s="47"/>
      <c r="H895" s="47"/>
    </row>
    <row r="896" spans="2:8" x14ac:dyDescent="0.2">
      <c r="B896" s="166"/>
      <c r="D896" s="47"/>
      <c r="E896" s="47"/>
      <c r="F896" s="47"/>
      <c r="G896" s="47"/>
      <c r="H896" s="47"/>
    </row>
    <row r="897" spans="2:8" x14ac:dyDescent="0.2">
      <c r="B897" s="166"/>
      <c r="D897" s="47"/>
      <c r="E897" s="47"/>
      <c r="F897" s="47"/>
      <c r="G897" s="47"/>
      <c r="H897" s="47"/>
    </row>
    <row r="898" spans="2:8" x14ac:dyDescent="0.2">
      <c r="B898" s="166"/>
      <c r="D898" s="47"/>
      <c r="E898" s="47"/>
      <c r="F898" s="47"/>
      <c r="G898" s="47"/>
      <c r="H898" s="47"/>
    </row>
    <row r="899" spans="2:8" x14ac:dyDescent="0.2">
      <c r="B899" s="166"/>
      <c r="D899" s="47"/>
      <c r="E899" s="47"/>
      <c r="F899" s="47"/>
      <c r="G899" s="47"/>
      <c r="H899" s="47"/>
    </row>
    <row r="900" spans="2:8" x14ac:dyDescent="0.2">
      <c r="B900" s="166"/>
      <c r="D900" s="47"/>
      <c r="E900" s="47"/>
      <c r="F900" s="47"/>
      <c r="G900" s="47"/>
      <c r="H900" s="47"/>
    </row>
    <row r="901" spans="2:8" x14ac:dyDescent="0.2">
      <c r="B901" s="166"/>
      <c r="D901" s="47"/>
      <c r="E901" s="47"/>
      <c r="F901" s="47"/>
      <c r="G901" s="47"/>
      <c r="H901" s="47"/>
    </row>
    <row r="902" spans="2:8" x14ac:dyDescent="0.2">
      <c r="B902" s="166"/>
      <c r="D902" s="47"/>
      <c r="E902" s="47"/>
      <c r="F902" s="47"/>
      <c r="G902" s="47"/>
      <c r="H902" s="47"/>
    </row>
    <row r="903" spans="2:8" x14ac:dyDescent="0.2">
      <c r="B903" s="166"/>
      <c r="D903" s="47"/>
      <c r="E903" s="47"/>
      <c r="F903" s="47"/>
      <c r="G903" s="47"/>
      <c r="H903" s="47"/>
    </row>
    <row r="904" spans="2:8" x14ac:dyDescent="0.2">
      <c r="B904" s="166"/>
      <c r="D904" s="47"/>
      <c r="E904" s="47"/>
      <c r="F904" s="47"/>
      <c r="G904" s="47"/>
      <c r="H904" s="47"/>
    </row>
    <row r="905" spans="2:8" x14ac:dyDescent="0.2">
      <c r="B905" s="166"/>
      <c r="D905" s="47"/>
      <c r="E905" s="47"/>
      <c r="F905" s="47"/>
      <c r="G905" s="47"/>
      <c r="H905" s="47"/>
    </row>
    <row r="906" spans="2:8" x14ac:dyDescent="0.2">
      <c r="B906" s="166"/>
      <c r="D906" s="47"/>
      <c r="E906" s="47"/>
      <c r="F906" s="47"/>
      <c r="G906" s="47"/>
      <c r="H906" s="47"/>
    </row>
    <row r="907" spans="2:8" x14ac:dyDescent="0.2">
      <c r="B907" s="166"/>
      <c r="D907" s="47"/>
      <c r="E907" s="47"/>
      <c r="F907" s="47"/>
      <c r="G907" s="47"/>
      <c r="H907" s="47"/>
    </row>
    <row r="908" spans="2:8" x14ac:dyDescent="0.2">
      <c r="B908" s="166"/>
      <c r="D908" s="47"/>
      <c r="E908" s="47"/>
      <c r="F908" s="47"/>
      <c r="G908" s="47"/>
      <c r="H908" s="47"/>
    </row>
    <row r="909" spans="2:8" x14ac:dyDescent="0.2">
      <c r="B909" s="166"/>
      <c r="D909" s="47"/>
      <c r="E909" s="47"/>
      <c r="F909" s="47"/>
      <c r="G909" s="47"/>
      <c r="H909" s="47"/>
    </row>
    <row r="910" spans="2:8" x14ac:dyDescent="0.2">
      <c r="B910" s="166"/>
      <c r="D910" s="47"/>
      <c r="E910" s="47"/>
      <c r="F910" s="47"/>
      <c r="G910" s="47"/>
      <c r="H910" s="47"/>
    </row>
    <row r="911" spans="2:8" x14ac:dyDescent="0.2">
      <c r="B911" s="166"/>
      <c r="D911" s="47"/>
      <c r="E911" s="47"/>
      <c r="F911" s="47"/>
      <c r="G911" s="47"/>
      <c r="H911" s="47"/>
    </row>
    <row r="912" spans="2:8" x14ac:dyDescent="0.2">
      <c r="B912" s="166"/>
      <c r="D912" s="47"/>
      <c r="E912" s="47"/>
      <c r="F912" s="47"/>
      <c r="G912" s="47"/>
      <c r="H912" s="47"/>
    </row>
    <row r="913" spans="2:8" x14ac:dyDescent="0.2">
      <c r="B913" s="166"/>
      <c r="D913" s="47"/>
      <c r="E913" s="47"/>
      <c r="F913" s="47"/>
      <c r="G913" s="47"/>
      <c r="H913" s="47"/>
    </row>
    <row r="914" spans="2:8" x14ac:dyDescent="0.2">
      <c r="B914" s="166"/>
      <c r="D914" s="47"/>
      <c r="E914" s="47"/>
      <c r="F914" s="47"/>
      <c r="G914" s="47"/>
      <c r="H914" s="47"/>
    </row>
    <row r="915" spans="2:8" x14ac:dyDescent="0.2">
      <c r="B915" s="166"/>
      <c r="D915" s="47"/>
      <c r="E915" s="47"/>
      <c r="F915" s="47"/>
      <c r="G915" s="47"/>
      <c r="H915" s="47"/>
    </row>
    <row r="916" spans="2:8" x14ac:dyDescent="0.2">
      <c r="B916" s="166"/>
      <c r="D916" s="47"/>
      <c r="E916" s="47"/>
      <c r="F916" s="47"/>
      <c r="G916" s="47"/>
      <c r="H916" s="47"/>
    </row>
    <row r="917" spans="2:8" x14ac:dyDescent="0.2">
      <c r="B917" s="166"/>
      <c r="D917" s="47"/>
      <c r="E917" s="47"/>
      <c r="F917" s="47"/>
      <c r="G917" s="47"/>
      <c r="H917" s="47"/>
    </row>
    <row r="918" spans="2:8" x14ac:dyDescent="0.2">
      <c r="B918" s="166"/>
      <c r="D918" s="47"/>
      <c r="E918" s="47"/>
      <c r="F918" s="47"/>
      <c r="G918" s="47"/>
      <c r="H918" s="47"/>
    </row>
    <row r="919" spans="2:8" x14ac:dyDescent="0.2">
      <c r="B919" s="166"/>
      <c r="D919" s="47"/>
      <c r="E919" s="47"/>
      <c r="F919" s="47"/>
      <c r="G919" s="47"/>
      <c r="H919" s="47"/>
    </row>
    <row r="920" spans="2:8" x14ac:dyDescent="0.2">
      <c r="B920" s="166"/>
      <c r="D920" s="47"/>
      <c r="E920" s="47"/>
      <c r="F920" s="47"/>
      <c r="G920" s="47"/>
      <c r="H920" s="47"/>
    </row>
    <row r="921" spans="2:8" x14ac:dyDescent="0.2">
      <c r="B921" s="166"/>
      <c r="D921" s="47"/>
      <c r="E921" s="47"/>
      <c r="F921" s="47"/>
      <c r="G921" s="47"/>
      <c r="H921" s="47"/>
    </row>
    <row r="922" spans="2:8" x14ac:dyDescent="0.2">
      <c r="B922" s="166"/>
      <c r="D922" s="47"/>
      <c r="E922" s="47"/>
      <c r="F922" s="47"/>
      <c r="G922" s="47"/>
      <c r="H922" s="47"/>
    </row>
    <row r="923" spans="2:8" x14ac:dyDescent="0.2">
      <c r="B923" s="166"/>
      <c r="D923" s="47"/>
      <c r="E923" s="47"/>
      <c r="F923" s="47"/>
      <c r="G923" s="47"/>
      <c r="H923" s="47"/>
    </row>
    <row r="924" spans="2:8" x14ac:dyDescent="0.2">
      <c r="B924" s="166"/>
      <c r="D924" s="47"/>
      <c r="E924" s="47"/>
      <c r="F924" s="47"/>
      <c r="G924" s="47"/>
      <c r="H924" s="47"/>
    </row>
    <row r="925" spans="2:8" x14ac:dyDescent="0.2">
      <c r="B925" s="166"/>
      <c r="D925" s="47"/>
      <c r="E925" s="47"/>
      <c r="F925" s="47"/>
      <c r="G925" s="47"/>
      <c r="H925" s="47"/>
    </row>
    <row r="926" spans="2:8" x14ac:dyDescent="0.2">
      <c r="B926" s="166"/>
      <c r="D926" s="47"/>
      <c r="E926" s="47"/>
      <c r="F926" s="47"/>
      <c r="G926" s="47"/>
      <c r="H926" s="47"/>
    </row>
    <row r="927" spans="2:8" x14ac:dyDescent="0.2">
      <c r="B927" s="166"/>
      <c r="D927" s="47"/>
      <c r="E927" s="47"/>
      <c r="F927" s="47"/>
      <c r="G927" s="47"/>
      <c r="H927" s="47"/>
    </row>
    <row r="928" spans="2:8" x14ac:dyDescent="0.2">
      <c r="B928" s="166"/>
      <c r="D928" s="47"/>
      <c r="E928" s="47"/>
      <c r="F928" s="47"/>
      <c r="G928" s="47"/>
      <c r="H928" s="47"/>
    </row>
    <row r="929" spans="2:8" x14ac:dyDescent="0.2">
      <c r="B929" s="166"/>
      <c r="D929" s="47"/>
      <c r="E929" s="47"/>
      <c r="F929" s="47"/>
      <c r="G929" s="47"/>
      <c r="H929" s="47"/>
    </row>
    <row r="930" spans="2:8" x14ac:dyDescent="0.2">
      <c r="B930" s="166"/>
      <c r="D930" s="47"/>
      <c r="E930" s="47"/>
      <c r="F930" s="47"/>
      <c r="G930" s="47"/>
      <c r="H930" s="47"/>
    </row>
    <row r="931" spans="2:8" x14ac:dyDescent="0.2">
      <c r="B931" s="166"/>
      <c r="D931" s="47"/>
      <c r="E931" s="47"/>
      <c r="F931" s="47"/>
      <c r="G931" s="47"/>
      <c r="H931" s="47"/>
    </row>
    <row r="932" spans="2:8" x14ac:dyDescent="0.2">
      <c r="B932" s="166"/>
      <c r="D932" s="47"/>
      <c r="E932" s="47"/>
      <c r="F932" s="47"/>
      <c r="G932" s="47"/>
      <c r="H932" s="47"/>
    </row>
    <row r="933" spans="2:8" x14ac:dyDescent="0.2">
      <c r="B933" s="166"/>
      <c r="D933" s="47"/>
      <c r="E933" s="47"/>
      <c r="F933" s="47"/>
      <c r="G933" s="47"/>
      <c r="H933" s="47"/>
    </row>
    <row r="934" spans="2:8" x14ac:dyDescent="0.2">
      <c r="B934" s="166"/>
      <c r="D934" s="47"/>
      <c r="E934" s="47"/>
      <c r="F934" s="47"/>
      <c r="G934" s="47"/>
      <c r="H934" s="47"/>
    </row>
    <row r="935" spans="2:8" x14ac:dyDescent="0.2">
      <c r="B935" s="166"/>
      <c r="D935" s="47"/>
      <c r="E935" s="47"/>
      <c r="F935" s="47"/>
      <c r="G935" s="47"/>
      <c r="H935" s="47"/>
    </row>
    <row r="936" spans="2:8" x14ac:dyDescent="0.2">
      <c r="B936" s="166"/>
      <c r="D936" s="47"/>
      <c r="E936" s="47"/>
      <c r="F936" s="47"/>
      <c r="G936" s="47"/>
      <c r="H936" s="47"/>
    </row>
    <row r="937" spans="2:8" x14ac:dyDescent="0.2">
      <c r="B937" s="166"/>
      <c r="D937" s="47"/>
      <c r="E937" s="47"/>
      <c r="F937" s="47"/>
      <c r="G937" s="47"/>
      <c r="H937" s="47"/>
    </row>
    <row r="938" spans="2:8" x14ac:dyDescent="0.2">
      <c r="B938" s="166"/>
      <c r="D938" s="47"/>
      <c r="E938" s="47"/>
      <c r="F938" s="47"/>
      <c r="G938" s="47"/>
      <c r="H938" s="47"/>
    </row>
    <row r="939" spans="2:8" x14ac:dyDescent="0.2">
      <c r="B939" s="166"/>
      <c r="D939" s="47"/>
      <c r="E939" s="47"/>
      <c r="F939" s="47"/>
      <c r="G939" s="47"/>
      <c r="H939" s="47"/>
    </row>
    <row r="940" spans="2:8" x14ac:dyDescent="0.2">
      <c r="B940" s="166"/>
      <c r="D940" s="47"/>
      <c r="E940" s="47"/>
      <c r="F940" s="47"/>
      <c r="G940" s="47"/>
      <c r="H940" s="47"/>
    </row>
    <row r="941" spans="2:8" x14ac:dyDescent="0.2">
      <c r="B941" s="166"/>
      <c r="D941" s="47"/>
      <c r="E941" s="47"/>
      <c r="F941" s="47"/>
      <c r="G941" s="47"/>
      <c r="H941" s="47"/>
    </row>
    <row r="942" spans="2:8" x14ac:dyDescent="0.2">
      <c r="B942" s="166"/>
      <c r="D942" s="47"/>
      <c r="E942" s="47"/>
      <c r="F942" s="47"/>
      <c r="G942" s="47"/>
      <c r="H942" s="47"/>
    </row>
    <row r="943" spans="2:8" x14ac:dyDescent="0.2">
      <c r="B943" s="166"/>
      <c r="D943" s="47"/>
      <c r="E943" s="47"/>
      <c r="F943" s="47"/>
      <c r="G943" s="47"/>
      <c r="H943" s="47"/>
    </row>
    <row r="944" spans="2:8" x14ac:dyDescent="0.2">
      <c r="B944" s="166"/>
      <c r="D944" s="47"/>
      <c r="E944" s="47"/>
      <c r="F944" s="47"/>
      <c r="G944" s="47"/>
      <c r="H944" s="47"/>
    </row>
    <row r="945" spans="2:8" x14ac:dyDescent="0.2">
      <c r="B945" s="166"/>
      <c r="D945" s="47"/>
      <c r="E945" s="47"/>
      <c r="F945" s="47"/>
      <c r="G945" s="47"/>
      <c r="H945" s="47"/>
    </row>
    <row r="946" spans="2:8" x14ac:dyDescent="0.2">
      <c r="B946" s="166"/>
      <c r="D946" s="47"/>
      <c r="E946" s="47"/>
      <c r="F946" s="47"/>
      <c r="G946" s="47"/>
      <c r="H946" s="47"/>
    </row>
    <row r="947" spans="2:8" x14ac:dyDescent="0.2">
      <c r="B947" s="166"/>
      <c r="D947" s="47"/>
      <c r="E947" s="47"/>
      <c r="F947" s="47"/>
      <c r="G947" s="47"/>
      <c r="H947" s="47"/>
    </row>
    <row r="948" spans="2:8" x14ac:dyDescent="0.2">
      <c r="B948" s="166"/>
      <c r="D948" s="47"/>
      <c r="E948" s="47"/>
      <c r="F948" s="47"/>
      <c r="G948" s="47"/>
      <c r="H948" s="47"/>
    </row>
    <row r="949" spans="2:8" x14ac:dyDescent="0.2">
      <c r="B949" s="166"/>
      <c r="D949" s="47"/>
      <c r="E949" s="47"/>
      <c r="F949" s="47"/>
      <c r="G949" s="47"/>
      <c r="H949" s="47"/>
    </row>
    <row r="950" spans="2:8" x14ac:dyDescent="0.2">
      <c r="B950" s="166"/>
      <c r="D950" s="47"/>
      <c r="E950" s="47"/>
      <c r="F950" s="47"/>
      <c r="G950" s="47"/>
      <c r="H950" s="47"/>
    </row>
    <row r="951" spans="2:8" x14ac:dyDescent="0.2">
      <c r="B951" s="166"/>
      <c r="D951" s="47"/>
      <c r="E951" s="47"/>
      <c r="F951" s="47"/>
      <c r="G951" s="47"/>
      <c r="H951" s="47"/>
    </row>
    <row r="952" spans="2:8" x14ac:dyDescent="0.2">
      <c r="B952" s="166"/>
      <c r="D952" s="47"/>
      <c r="E952" s="47"/>
      <c r="F952" s="47"/>
      <c r="G952" s="47"/>
      <c r="H952" s="47"/>
    </row>
    <row r="953" spans="2:8" x14ac:dyDescent="0.2">
      <c r="B953" s="166"/>
      <c r="D953" s="47"/>
      <c r="E953" s="47"/>
      <c r="F953" s="47"/>
      <c r="G953" s="47"/>
      <c r="H953" s="47"/>
    </row>
    <row r="954" spans="2:8" x14ac:dyDescent="0.2">
      <c r="B954" s="166"/>
      <c r="D954" s="47"/>
      <c r="E954" s="47"/>
      <c r="F954" s="47"/>
      <c r="G954" s="47"/>
      <c r="H954" s="47"/>
    </row>
    <row r="955" spans="2:8" x14ac:dyDescent="0.2">
      <c r="B955" s="166"/>
      <c r="D955" s="47"/>
      <c r="E955" s="47"/>
      <c r="F955" s="47"/>
      <c r="G955" s="47"/>
      <c r="H955" s="47"/>
    </row>
    <row r="956" spans="2:8" x14ac:dyDescent="0.2">
      <c r="B956" s="166"/>
      <c r="D956" s="47"/>
      <c r="E956" s="47"/>
      <c r="F956" s="47"/>
      <c r="G956" s="47"/>
      <c r="H956" s="47"/>
    </row>
    <row r="957" spans="2:8" x14ac:dyDescent="0.2">
      <c r="B957" s="166"/>
      <c r="D957" s="47"/>
      <c r="E957" s="47"/>
      <c r="F957" s="47"/>
      <c r="G957" s="47"/>
      <c r="H957" s="47"/>
    </row>
    <row r="958" spans="2:8" x14ac:dyDescent="0.2">
      <c r="B958" s="166"/>
      <c r="D958" s="47"/>
      <c r="E958" s="47"/>
      <c r="F958" s="47"/>
      <c r="G958" s="47"/>
      <c r="H958" s="47"/>
    </row>
    <row r="959" spans="2:8" x14ac:dyDescent="0.2">
      <c r="B959" s="166"/>
      <c r="D959" s="47"/>
      <c r="E959" s="47"/>
      <c r="F959" s="47"/>
      <c r="G959" s="47"/>
      <c r="H959" s="47"/>
    </row>
    <row r="960" spans="2:8" x14ac:dyDescent="0.2">
      <c r="B960" s="166"/>
      <c r="D960" s="47"/>
      <c r="E960" s="47"/>
      <c r="F960" s="47"/>
      <c r="G960" s="47"/>
      <c r="H960" s="47"/>
    </row>
    <row r="961" spans="2:8" x14ac:dyDescent="0.2">
      <c r="B961" s="166"/>
      <c r="D961" s="47"/>
      <c r="E961" s="47"/>
      <c r="F961" s="47"/>
      <c r="G961" s="47"/>
      <c r="H961" s="47"/>
    </row>
    <row r="962" spans="2:8" x14ac:dyDescent="0.2">
      <c r="B962" s="166"/>
      <c r="D962" s="47"/>
      <c r="E962" s="47"/>
      <c r="F962" s="47"/>
      <c r="G962" s="47"/>
      <c r="H962" s="47"/>
    </row>
    <row r="963" spans="2:8" x14ac:dyDescent="0.2">
      <c r="B963" s="166"/>
      <c r="D963" s="47"/>
      <c r="E963" s="47"/>
      <c r="F963" s="47"/>
      <c r="G963" s="47"/>
      <c r="H963" s="47"/>
    </row>
    <row r="964" spans="2:8" x14ac:dyDescent="0.2">
      <c r="B964" s="166"/>
      <c r="D964" s="47"/>
      <c r="E964" s="47"/>
      <c r="F964" s="47"/>
      <c r="G964" s="47"/>
      <c r="H964" s="47"/>
    </row>
    <row r="965" spans="2:8" x14ac:dyDescent="0.2">
      <c r="B965" s="166"/>
      <c r="D965" s="47"/>
      <c r="E965" s="47"/>
      <c r="F965" s="47"/>
      <c r="G965" s="47"/>
      <c r="H965" s="47"/>
    </row>
    <row r="966" spans="2:8" x14ac:dyDescent="0.2">
      <c r="B966" s="166"/>
      <c r="D966" s="47"/>
      <c r="E966" s="47"/>
      <c r="F966" s="47"/>
      <c r="G966" s="47"/>
      <c r="H966" s="47"/>
    </row>
    <row r="967" spans="2:8" x14ac:dyDescent="0.2">
      <c r="B967" s="166"/>
      <c r="D967" s="47"/>
      <c r="E967" s="47"/>
      <c r="F967" s="47"/>
      <c r="G967" s="47"/>
      <c r="H967" s="47"/>
    </row>
    <row r="968" spans="2:8" x14ac:dyDescent="0.2">
      <c r="B968" s="166"/>
      <c r="D968" s="47"/>
      <c r="E968" s="47"/>
      <c r="F968" s="47"/>
      <c r="G968" s="47"/>
      <c r="H968" s="47"/>
    </row>
    <row r="969" spans="2:8" x14ac:dyDescent="0.2">
      <c r="B969" s="166"/>
      <c r="D969" s="47"/>
      <c r="E969" s="47"/>
      <c r="F969" s="47"/>
      <c r="G969" s="47"/>
      <c r="H969" s="47"/>
    </row>
    <row r="970" spans="2:8" x14ac:dyDescent="0.2">
      <c r="B970" s="166"/>
      <c r="D970" s="47"/>
      <c r="E970" s="47"/>
      <c r="F970" s="47"/>
      <c r="G970" s="47"/>
      <c r="H970" s="47"/>
    </row>
    <row r="971" spans="2:8" x14ac:dyDescent="0.2">
      <c r="B971" s="166"/>
      <c r="D971" s="47"/>
      <c r="E971" s="47"/>
      <c r="F971" s="47"/>
      <c r="G971" s="47"/>
      <c r="H971" s="47"/>
    </row>
    <row r="972" spans="2:8" x14ac:dyDescent="0.2">
      <c r="B972" s="166"/>
      <c r="D972" s="47"/>
      <c r="E972" s="47"/>
      <c r="F972" s="47"/>
      <c r="G972" s="47"/>
      <c r="H972" s="47"/>
    </row>
    <row r="973" spans="2:8" x14ac:dyDescent="0.2">
      <c r="B973" s="166"/>
      <c r="D973" s="47"/>
      <c r="E973" s="47"/>
      <c r="F973" s="47"/>
      <c r="G973" s="47"/>
      <c r="H973" s="47"/>
    </row>
    <row r="974" spans="2:8" x14ac:dyDescent="0.2">
      <c r="B974" s="166"/>
      <c r="D974" s="47"/>
      <c r="E974" s="47"/>
      <c r="F974" s="47"/>
      <c r="G974" s="47"/>
      <c r="H974" s="47"/>
    </row>
    <row r="975" spans="2:8" x14ac:dyDescent="0.2">
      <c r="B975" s="166"/>
      <c r="D975" s="47"/>
      <c r="E975" s="47"/>
      <c r="F975" s="47"/>
      <c r="G975" s="47"/>
      <c r="H975" s="47"/>
    </row>
    <row r="976" spans="2:8" x14ac:dyDescent="0.2">
      <c r="B976" s="166"/>
      <c r="D976" s="47"/>
      <c r="E976" s="47"/>
      <c r="F976" s="47"/>
      <c r="G976" s="47"/>
      <c r="H976" s="47"/>
    </row>
    <row r="977" spans="2:8" x14ac:dyDescent="0.2">
      <c r="B977" s="166"/>
      <c r="D977" s="47"/>
      <c r="E977" s="47"/>
      <c r="F977" s="47"/>
      <c r="G977" s="47"/>
      <c r="H977" s="47"/>
    </row>
    <row r="978" spans="2:8" x14ac:dyDescent="0.2">
      <c r="B978" s="166"/>
      <c r="D978" s="47"/>
      <c r="E978" s="47"/>
      <c r="F978" s="47"/>
      <c r="G978" s="47"/>
      <c r="H978" s="47"/>
    </row>
    <row r="979" spans="2:8" x14ac:dyDescent="0.2">
      <c r="B979" s="166"/>
      <c r="D979" s="47"/>
      <c r="E979" s="47"/>
      <c r="F979" s="47"/>
      <c r="G979" s="47"/>
      <c r="H979" s="47"/>
    </row>
    <row r="980" spans="2:8" x14ac:dyDescent="0.2">
      <c r="B980" s="166"/>
      <c r="D980" s="47"/>
      <c r="E980" s="47"/>
      <c r="F980" s="47"/>
      <c r="G980" s="47"/>
      <c r="H980" s="47"/>
    </row>
    <row r="981" spans="2:8" x14ac:dyDescent="0.2">
      <c r="B981" s="166"/>
      <c r="D981" s="47"/>
      <c r="E981" s="47"/>
      <c r="F981" s="47"/>
      <c r="G981" s="47"/>
      <c r="H981" s="47"/>
    </row>
    <row r="982" spans="2:8" x14ac:dyDescent="0.2">
      <c r="B982" s="166"/>
      <c r="D982" s="47"/>
      <c r="E982" s="47"/>
      <c r="F982" s="47"/>
      <c r="G982" s="47"/>
      <c r="H982" s="47"/>
    </row>
    <row r="983" spans="2:8" x14ac:dyDescent="0.2">
      <c r="B983" s="166"/>
      <c r="D983" s="47"/>
      <c r="E983" s="47"/>
      <c r="F983" s="47"/>
      <c r="G983" s="47"/>
      <c r="H983" s="47"/>
    </row>
    <row r="984" spans="2:8" x14ac:dyDescent="0.2">
      <c r="B984" s="166"/>
      <c r="D984" s="47"/>
      <c r="E984" s="47"/>
      <c r="F984" s="47"/>
      <c r="G984" s="47"/>
      <c r="H984" s="47"/>
    </row>
    <row r="985" spans="2:8" x14ac:dyDescent="0.2">
      <c r="B985" s="166"/>
      <c r="D985" s="47"/>
      <c r="E985" s="47"/>
      <c r="F985" s="47"/>
      <c r="G985" s="47"/>
      <c r="H985" s="47"/>
    </row>
    <row r="986" spans="2:8" x14ac:dyDescent="0.2">
      <c r="B986" s="166"/>
      <c r="D986" s="47"/>
      <c r="E986" s="47"/>
      <c r="F986" s="47"/>
      <c r="G986" s="47"/>
      <c r="H986" s="47"/>
    </row>
    <row r="987" spans="2:8" x14ac:dyDescent="0.2">
      <c r="B987" s="166"/>
      <c r="D987" s="47"/>
      <c r="E987" s="47"/>
      <c r="F987" s="47"/>
      <c r="G987" s="47"/>
      <c r="H987" s="47"/>
    </row>
    <row r="988" spans="2:8" x14ac:dyDescent="0.2">
      <c r="B988" s="166"/>
      <c r="D988" s="47"/>
      <c r="E988" s="47"/>
      <c r="F988" s="47"/>
      <c r="G988" s="47"/>
      <c r="H988" s="47"/>
    </row>
    <row r="989" spans="2:8" x14ac:dyDescent="0.2">
      <c r="B989" s="166"/>
      <c r="D989" s="47"/>
      <c r="E989" s="47"/>
      <c r="F989" s="47"/>
      <c r="G989" s="47"/>
      <c r="H989" s="47"/>
    </row>
    <row r="990" spans="2:8" x14ac:dyDescent="0.2">
      <c r="B990" s="166"/>
      <c r="D990" s="47"/>
      <c r="E990" s="47"/>
      <c r="F990" s="47"/>
      <c r="G990" s="47"/>
      <c r="H990" s="47"/>
    </row>
    <row r="991" spans="2:8" x14ac:dyDescent="0.2">
      <c r="B991" s="166"/>
      <c r="D991" s="47"/>
      <c r="E991" s="47"/>
      <c r="F991" s="47"/>
      <c r="G991" s="47"/>
      <c r="H991" s="47"/>
    </row>
    <row r="992" spans="2:8" x14ac:dyDescent="0.2">
      <c r="B992" s="166"/>
      <c r="D992" s="47"/>
      <c r="E992" s="47"/>
      <c r="F992" s="47"/>
      <c r="G992" s="47"/>
      <c r="H992" s="47"/>
    </row>
    <row r="993" spans="2:8" x14ac:dyDescent="0.2">
      <c r="B993" s="166"/>
      <c r="D993" s="47"/>
      <c r="E993" s="47"/>
      <c r="F993" s="47"/>
      <c r="G993" s="47"/>
      <c r="H993" s="47"/>
    </row>
    <row r="994" spans="2:8" x14ac:dyDescent="0.2">
      <c r="B994" s="166"/>
      <c r="D994" s="47"/>
      <c r="E994" s="47"/>
      <c r="F994" s="47"/>
      <c r="G994" s="47"/>
      <c r="H994" s="47"/>
    </row>
    <row r="995" spans="2:8" x14ac:dyDescent="0.2">
      <c r="B995" s="166"/>
      <c r="D995" s="47"/>
      <c r="E995" s="47"/>
      <c r="F995" s="47"/>
      <c r="G995" s="47"/>
      <c r="H995" s="47"/>
    </row>
    <row r="996" spans="2:8" x14ac:dyDescent="0.2">
      <c r="B996" s="166"/>
      <c r="D996" s="47"/>
      <c r="E996" s="47"/>
      <c r="F996" s="47"/>
      <c r="G996" s="47"/>
      <c r="H996" s="47"/>
    </row>
    <row r="997" spans="2:8" x14ac:dyDescent="0.2">
      <c r="B997" s="166"/>
      <c r="D997" s="47"/>
      <c r="E997" s="47"/>
      <c r="F997" s="47"/>
      <c r="G997" s="47"/>
      <c r="H997" s="47"/>
    </row>
    <row r="998" spans="2:8" x14ac:dyDescent="0.2">
      <c r="B998" s="166"/>
      <c r="D998" s="47"/>
      <c r="E998" s="47"/>
      <c r="F998" s="47"/>
      <c r="G998" s="47"/>
      <c r="H998" s="47"/>
    </row>
    <row r="999" spans="2:8" x14ac:dyDescent="0.2">
      <c r="B999" s="166"/>
      <c r="D999" s="47"/>
      <c r="E999" s="47"/>
      <c r="F999" s="47"/>
      <c r="G999" s="47"/>
      <c r="H999" s="47"/>
    </row>
    <row r="1000" spans="2:8" x14ac:dyDescent="0.2">
      <c r="B1000" s="166"/>
      <c r="D1000" s="47"/>
      <c r="E1000" s="47"/>
      <c r="F1000" s="47"/>
      <c r="G1000" s="47"/>
      <c r="H1000" s="47"/>
    </row>
    <row r="1001" spans="2:8" x14ac:dyDescent="0.2">
      <c r="B1001" s="166"/>
      <c r="D1001" s="47"/>
      <c r="E1001" s="47"/>
      <c r="F1001" s="47"/>
      <c r="G1001" s="47"/>
      <c r="H1001" s="47"/>
    </row>
    <row r="1002" spans="2:8" x14ac:dyDescent="0.2">
      <c r="B1002" s="166"/>
      <c r="D1002" s="47"/>
      <c r="E1002" s="47"/>
      <c r="F1002" s="47"/>
      <c r="G1002" s="47"/>
      <c r="H1002" s="47"/>
    </row>
    <row r="1003" spans="2:8" x14ac:dyDescent="0.2">
      <c r="B1003" s="166"/>
      <c r="D1003" s="47"/>
      <c r="E1003" s="47"/>
      <c r="F1003" s="47"/>
      <c r="G1003" s="47"/>
      <c r="H1003" s="47"/>
    </row>
    <row r="1004" spans="2:8" x14ac:dyDescent="0.2">
      <c r="B1004" s="166"/>
      <c r="D1004" s="47"/>
      <c r="E1004" s="47"/>
      <c r="F1004" s="47"/>
      <c r="G1004" s="47"/>
      <c r="H1004" s="47"/>
    </row>
    <row r="1005" spans="2:8" x14ac:dyDescent="0.2">
      <c r="B1005" s="166"/>
      <c r="D1005" s="47"/>
      <c r="E1005" s="47"/>
      <c r="F1005" s="47"/>
      <c r="G1005" s="47"/>
      <c r="H1005" s="47"/>
    </row>
    <row r="1006" spans="2:8" x14ac:dyDescent="0.2">
      <c r="B1006" s="166"/>
      <c r="D1006" s="47"/>
      <c r="E1006" s="47"/>
      <c r="F1006" s="47"/>
      <c r="G1006" s="47"/>
      <c r="H1006" s="47"/>
    </row>
    <row r="1007" spans="2:8" x14ac:dyDescent="0.2">
      <c r="B1007" s="166"/>
      <c r="D1007" s="47"/>
      <c r="E1007" s="47"/>
      <c r="F1007" s="47"/>
      <c r="G1007" s="47"/>
      <c r="H1007" s="47"/>
    </row>
    <row r="1008" spans="2:8" x14ac:dyDescent="0.2">
      <c r="B1008" s="166"/>
      <c r="D1008" s="47"/>
      <c r="E1008" s="47"/>
      <c r="F1008" s="47"/>
      <c r="G1008" s="47"/>
      <c r="H1008" s="47"/>
    </row>
    <row r="1009" spans="2:8" x14ac:dyDescent="0.2">
      <c r="B1009" s="166"/>
      <c r="D1009" s="47"/>
      <c r="E1009" s="47"/>
      <c r="F1009" s="47"/>
      <c r="G1009" s="47"/>
      <c r="H1009" s="47"/>
    </row>
    <row r="1010" spans="2:8" x14ac:dyDescent="0.2">
      <c r="B1010" s="166"/>
      <c r="D1010" s="47"/>
      <c r="E1010" s="47"/>
      <c r="F1010" s="47"/>
      <c r="G1010" s="47"/>
      <c r="H1010" s="47"/>
    </row>
    <row r="1011" spans="2:8" x14ac:dyDescent="0.2">
      <c r="B1011" s="166"/>
      <c r="D1011" s="47"/>
      <c r="E1011" s="47"/>
      <c r="F1011" s="47"/>
      <c r="G1011" s="47"/>
      <c r="H1011" s="47"/>
    </row>
    <row r="1012" spans="2:8" x14ac:dyDescent="0.2">
      <c r="B1012" s="166"/>
      <c r="D1012" s="47"/>
      <c r="E1012" s="47"/>
      <c r="F1012" s="47"/>
      <c r="G1012" s="47"/>
      <c r="H1012" s="47"/>
    </row>
    <row r="1013" spans="2:8" x14ac:dyDescent="0.2">
      <c r="B1013" s="166"/>
      <c r="D1013" s="47"/>
      <c r="E1013" s="47"/>
      <c r="F1013" s="47"/>
      <c r="G1013" s="47"/>
      <c r="H1013" s="47"/>
    </row>
    <row r="1014" spans="2:8" x14ac:dyDescent="0.2">
      <c r="B1014" s="166"/>
      <c r="D1014" s="47"/>
      <c r="E1014" s="47"/>
      <c r="F1014" s="47"/>
      <c r="G1014" s="47"/>
      <c r="H1014" s="47"/>
    </row>
    <row r="1015" spans="2:8" x14ac:dyDescent="0.2">
      <c r="B1015" s="166"/>
      <c r="D1015" s="47"/>
      <c r="E1015" s="47"/>
      <c r="F1015" s="47"/>
      <c r="G1015" s="47"/>
      <c r="H1015" s="47"/>
    </row>
    <row r="1016" spans="2:8" x14ac:dyDescent="0.2">
      <c r="B1016" s="166"/>
      <c r="D1016" s="47"/>
      <c r="E1016" s="47"/>
      <c r="F1016" s="47"/>
      <c r="G1016" s="47"/>
      <c r="H1016" s="47"/>
    </row>
    <row r="1017" spans="2:8" x14ac:dyDescent="0.2">
      <c r="B1017" s="166"/>
      <c r="D1017" s="47"/>
      <c r="E1017" s="47"/>
      <c r="F1017" s="47"/>
      <c r="G1017" s="47"/>
      <c r="H1017" s="47"/>
    </row>
    <row r="1018" spans="2:8" x14ac:dyDescent="0.2">
      <c r="B1018" s="166"/>
      <c r="D1018" s="47"/>
      <c r="E1018" s="47"/>
      <c r="F1018" s="47"/>
      <c r="G1018" s="47"/>
      <c r="H1018" s="47"/>
    </row>
    <row r="1019" spans="2:8" x14ac:dyDescent="0.2">
      <c r="B1019" s="166"/>
      <c r="D1019" s="47"/>
      <c r="E1019" s="47"/>
      <c r="F1019" s="47"/>
      <c r="G1019" s="47"/>
      <c r="H1019" s="47"/>
    </row>
    <row r="1020" spans="2:8" x14ac:dyDescent="0.2">
      <c r="B1020" s="166"/>
      <c r="D1020" s="47"/>
      <c r="E1020" s="47"/>
      <c r="F1020" s="47"/>
      <c r="G1020" s="47"/>
      <c r="H1020" s="47"/>
    </row>
    <row r="1021" spans="2:8" x14ac:dyDescent="0.2">
      <c r="B1021" s="166"/>
      <c r="D1021" s="47"/>
      <c r="E1021" s="47"/>
      <c r="F1021" s="47"/>
      <c r="G1021" s="47"/>
      <c r="H1021" s="47"/>
    </row>
    <row r="1022" spans="2:8" x14ac:dyDescent="0.2">
      <c r="B1022" s="166"/>
      <c r="D1022" s="47"/>
      <c r="E1022" s="47"/>
      <c r="F1022" s="47"/>
      <c r="G1022" s="47"/>
      <c r="H1022" s="47"/>
    </row>
    <row r="1023" spans="2:8" x14ac:dyDescent="0.2">
      <c r="B1023" s="166"/>
      <c r="D1023" s="47"/>
      <c r="E1023" s="47"/>
      <c r="F1023" s="47"/>
      <c r="G1023" s="47"/>
      <c r="H1023" s="47"/>
    </row>
    <row r="1024" spans="2:8" x14ac:dyDescent="0.2">
      <c r="B1024" s="166"/>
      <c r="D1024" s="47"/>
      <c r="E1024" s="47"/>
      <c r="F1024" s="47"/>
      <c r="G1024" s="47"/>
      <c r="H1024" s="47"/>
    </row>
    <row r="1025" spans="2:8" x14ac:dyDescent="0.2">
      <c r="B1025" s="166"/>
      <c r="D1025" s="47"/>
      <c r="E1025" s="47"/>
      <c r="F1025" s="47"/>
      <c r="G1025" s="47"/>
      <c r="H1025" s="47"/>
    </row>
    <row r="1026" spans="2:8" x14ac:dyDescent="0.2">
      <c r="B1026" s="166"/>
      <c r="D1026" s="47"/>
      <c r="E1026" s="47"/>
      <c r="F1026" s="47"/>
      <c r="G1026" s="47"/>
      <c r="H1026" s="47"/>
    </row>
    <row r="1027" spans="2:8" x14ac:dyDescent="0.2">
      <c r="B1027" s="166"/>
      <c r="D1027" s="47"/>
      <c r="E1027" s="47"/>
      <c r="F1027" s="47"/>
      <c r="G1027" s="47"/>
      <c r="H1027" s="47"/>
    </row>
    <row r="1028" spans="2:8" x14ac:dyDescent="0.2">
      <c r="B1028" s="166"/>
      <c r="D1028" s="47"/>
      <c r="E1028" s="47"/>
      <c r="F1028" s="47"/>
      <c r="G1028" s="47"/>
      <c r="H1028" s="47"/>
    </row>
    <row r="1029" spans="2:8" x14ac:dyDescent="0.2">
      <c r="B1029" s="166"/>
      <c r="D1029" s="47"/>
      <c r="E1029" s="47"/>
      <c r="F1029" s="47"/>
      <c r="G1029" s="47"/>
      <c r="H1029" s="47"/>
    </row>
    <row r="1030" spans="2:8" x14ac:dyDescent="0.2">
      <c r="B1030" s="166"/>
      <c r="D1030" s="47"/>
      <c r="E1030" s="47"/>
      <c r="F1030" s="47"/>
      <c r="G1030" s="47"/>
      <c r="H1030" s="47"/>
    </row>
    <row r="1031" spans="2:8" x14ac:dyDescent="0.2">
      <c r="B1031" s="166"/>
      <c r="D1031" s="47"/>
      <c r="E1031" s="47"/>
      <c r="F1031" s="47"/>
      <c r="G1031" s="47"/>
      <c r="H1031" s="47"/>
    </row>
    <row r="1032" spans="2:8" x14ac:dyDescent="0.2">
      <c r="B1032" s="166"/>
      <c r="D1032" s="47"/>
      <c r="E1032" s="47"/>
      <c r="F1032" s="47"/>
      <c r="G1032" s="47"/>
      <c r="H1032" s="47"/>
    </row>
    <row r="1033" spans="2:8" x14ac:dyDescent="0.2">
      <c r="B1033" s="166"/>
      <c r="D1033" s="47"/>
      <c r="E1033" s="47"/>
      <c r="F1033" s="47"/>
      <c r="G1033" s="47"/>
      <c r="H1033" s="47"/>
    </row>
    <row r="1034" spans="2:8" x14ac:dyDescent="0.2">
      <c r="B1034" s="166"/>
      <c r="D1034" s="47"/>
      <c r="E1034" s="47"/>
      <c r="F1034" s="47"/>
      <c r="G1034" s="47"/>
      <c r="H1034" s="47"/>
    </row>
    <row r="1035" spans="2:8" x14ac:dyDescent="0.2">
      <c r="B1035" s="166"/>
      <c r="D1035" s="47"/>
      <c r="E1035" s="47"/>
      <c r="F1035" s="47"/>
      <c r="G1035" s="47"/>
      <c r="H1035" s="47"/>
    </row>
    <row r="1036" spans="2:8" x14ac:dyDescent="0.2">
      <c r="B1036" s="166"/>
      <c r="D1036" s="47"/>
      <c r="E1036" s="47"/>
      <c r="F1036" s="47"/>
      <c r="G1036" s="47"/>
      <c r="H1036" s="47"/>
    </row>
    <row r="1037" spans="2:8" x14ac:dyDescent="0.2">
      <c r="B1037" s="166"/>
      <c r="D1037" s="47"/>
      <c r="E1037" s="47"/>
      <c r="F1037" s="47"/>
      <c r="G1037" s="47"/>
      <c r="H1037" s="47"/>
    </row>
    <row r="1038" spans="2:8" x14ac:dyDescent="0.2">
      <c r="B1038" s="166"/>
      <c r="D1038" s="47"/>
      <c r="E1038" s="47"/>
      <c r="F1038" s="47"/>
      <c r="G1038" s="47"/>
      <c r="H1038" s="47"/>
    </row>
    <row r="1039" spans="2:8" x14ac:dyDescent="0.2">
      <c r="B1039" s="166"/>
      <c r="D1039" s="47"/>
      <c r="E1039" s="47"/>
      <c r="F1039" s="47"/>
      <c r="G1039" s="47"/>
      <c r="H1039" s="47"/>
    </row>
    <row r="1040" spans="2:8" x14ac:dyDescent="0.2">
      <c r="B1040" s="166"/>
      <c r="D1040" s="47"/>
      <c r="E1040" s="47"/>
      <c r="F1040" s="47"/>
      <c r="G1040" s="47"/>
      <c r="H1040" s="47"/>
    </row>
    <row r="1041" spans="2:8" x14ac:dyDescent="0.2">
      <c r="B1041" s="166"/>
      <c r="D1041" s="47"/>
      <c r="E1041" s="47"/>
      <c r="F1041" s="47"/>
      <c r="G1041" s="47"/>
      <c r="H1041" s="47"/>
    </row>
    <row r="1042" spans="2:8" x14ac:dyDescent="0.2">
      <c r="B1042" s="166"/>
      <c r="D1042" s="47"/>
      <c r="E1042" s="47"/>
      <c r="F1042" s="47"/>
      <c r="G1042" s="47"/>
      <c r="H1042" s="47"/>
    </row>
    <row r="1043" spans="2:8" x14ac:dyDescent="0.2">
      <c r="B1043" s="166"/>
      <c r="D1043" s="47"/>
      <c r="E1043" s="47"/>
      <c r="F1043" s="47"/>
      <c r="G1043" s="47"/>
      <c r="H1043" s="47"/>
    </row>
    <row r="1044" spans="2:8" x14ac:dyDescent="0.2">
      <c r="B1044" s="166"/>
      <c r="D1044" s="47"/>
      <c r="E1044" s="47"/>
      <c r="F1044" s="47"/>
      <c r="G1044" s="47"/>
      <c r="H1044" s="47"/>
    </row>
    <row r="1045" spans="2:8" x14ac:dyDescent="0.2">
      <c r="B1045" s="166"/>
      <c r="D1045" s="47"/>
      <c r="E1045" s="47"/>
      <c r="F1045" s="47"/>
      <c r="G1045" s="47"/>
      <c r="H1045" s="47"/>
    </row>
    <row r="1046" spans="2:8" x14ac:dyDescent="0.2">
      <c r="B1046" s="166"/>
      <c r="D1046" s="47"/>
      <c r="E1046" s="47"/>
      <c r="F1046" s="47"/>
      <c r="G1046" s="47"/>
      <c r="H1046" s="47"/>
    </row>
    <row r="1047" spans="2:8" x14ac:dyDescent="0.2">
      <c r="B1047" s="166"/>
      <c r="D1047" s="47"/>
      <c r="E1047" s="47"/>
      <c r="F1047" s="47"/>
      <c r="G1047" s="47"/>
      <c r="H1047" s="47"/>
    </row>
    <row r="1048" spans="2:8" x14ac:dyDescent="0.2">
      <c r="B1048" s="166"/>
      <c r="D1048" s="47"/>
      <c r="E1048" s="47"/>
      <c r="F1048" s="47"/>
      <c r="G1048" s="47"/>
      <c r="H1048" s="47"/>
    </row>
    <row r="1049" spans="2:8" x14ac:dyDescent="0.2">
      <c r="B1049" s="166"/>
      <c r="D1049" s="47"/>
      <c r="E1049" s="47"/>
      <c r="F1049" s="47"/>
      <c r="G1049" s="47"/>
      <c r="H1049" s="47"/>
    </row>
    <row r="1050" spans="2:8" x14ac:dyDescent="0.2">
      <c r="B1050" s="166"/>
      <c r="D1050" s="47"/>
      <c r="E1050" s="47"/>
      <c r="F1050" s="47"/>
      <c r="G1050" s="47"/>
      <c r="H1050" s="47"/>
    </row>
    <row r="1051" spans="2:8" x14ac:dyDescent="0.2">
      <c r="B1051" s="166"/>
      <c r="D1051" s="47"/>
      <c r="E1051" s="47"/>
      <c r="F1051" s="47"/>
      <c r="G1051" s="47"/>
      <c r="H1051" s="47"/>
    </row>
    <row r="1052" spans="2:8" x14ac:dyDescent="0.2">
      <c r="B1052" s="166"/>
      <c r="D1052" s="47"/>
      <c r="E1052" s="47"/>
      <c r="F1052" s="47"/>
      <c r="G1052" s="47"/>
      <c r="H1052" s="47"/>
    </row>
    <row r="1053" spans="2:8" x14ac:dyDescent="0.2">
      <c r="B1053" s="166"/>
      <c r="D1053" s="47"/>
      <c r="E1053" s="47"/>
      <c r="F1053" s="47"/>
      <c r="G1053" s="47"/>
      <c r="H1053" s="47"/>
    </row>
    <row r="1054" spans="2:8" x14ac:dyDescent="0.2">
      <c r="B1054" s="166"/>
      <c r="D1054" s="47"/>
      <c r="E1054" s="47"/>
      <c r="F1054" s="47"/>
      <c r="G1054" s="47"/>
      <c r="H1054" s="47"/>
    </row>
    <row r="1055" spans="2:8" x14ac:dyDescent="0.2">
      <c r="B1055" s="166"/>
      <c r="D1055" s="47"/>
      <c r="E1055" s="47"/>
      <c r="F1055" s="47"/>
      <c r="G1055" s="47"/>
      <c r="H1055" s="47"/>
    </row>
    <row r="1056" spans="2:8" x14ac:dyDescent="0.2">
      <c r="B1056" s="166"/>
      <c r="D1056" s="47"/>
      <c r="E1056" s="47"/>
      <c r="F1056" s="47"/>
      <c r="G1056" s="47"/>
      <c r="H1056" s="47"/>
    </row>
    <row r="1057" spans="2:8" x14ac:dyDescent="0.2">
      <c r="B1057" s="166"/>
      <c r="D1057" s="47"/>
      <c r="E1057" s="47"/>
      <c r="F1057" s="47"/>
      <c r="G1057" s="47"/>
      <c r="H1057" s="47"/>
    </row>
    <row r="1058" spans="2:8" x14ac:dyDescent="0.2">
      <c r="B1058" s="166"/>
      <c r="D1058" s="47"/>
      <c r="E1058" s="47"/>
      <c r="F1058" s="47"/>
      <c r="G1058" s="47"/>
      <c r="H1058" s="47"/>
    </row>
    <row r="1059" spans="2:8" x14ac:dyDescent="0.2">
      <c r="B1059" s="166"/>
      <c r="D1059" s="47"/>
      <c r="E1059" s="47"/>
      <c r="F1059" s="47"/>
      <c r="G1059" s="47"/>
      <c r="H1059" s="47"/>
    </row>
    <row r="1060" spans="2:8" x14ac:dyDescent="0.2">
      <c r="B1060" s="166"/>
      <c r="D1060" s="47"/>
      <c r="E1060" s="47"/>
      <c r="F1060" s="47"/>
      <c r="G1060" s="47"/>
      <c r="H1060" s="47"/>
    </row>
    <row r="1061" spans="2:8" x14ac:dyDescent="0.2">
      <c r="B1061" s="166"/>
      <c r="D1061" s="47"/>
      <c r="E1061" s="47"/>
      <c r="F1061" s="47"/>
      <c r="G1061" s="47"/>
      <c r="H1061" s="47"/>
    </row>
    <row r="1062" spans="2:8" x14ac:dyDescent="0.2">
      <c r="B1062" s="166"/>
      <c r="D1062" s="47"/>
      <c r="E1062" s="47"/>
      <c r="F1062" s="47"/>
      <c r="G1062" s="47"/>
      <c r="H1062" s="47"/>
    </row>
    <row r="1063" spans="2:8" x14ac:dyDescent="0.2">
      <c r="B1063" s="166"/>
      <c r="D1063" s="47"/>
      <c r="E1063" s="47"/>
      <c r="F1063" s="47"/>
      <c r="G1063" s="47"/>
      <c r="H1063" s="47"/>
    </row>
    <row r="1064" spans="2:8" x14ac:dyDescent="0.2">
      <c r="B1064" s="166"/>
      <c r="D1064" s="47"/>
      <c r="E1064" s="47"/>
      <c r="F1064" s="47"/>
      <c r="G1064" s="47"/>
      <c r="H1064" s="47"/>
    </row>
    <row r="1065" spans="2:8" x14ac:dyDescent="0.2">
      <c r="B1065" s="166"/>
      <c r="D1065" s="47"/>
      <c r="E1065" s="47"/>
      <c r="F1065" s="47"/>
      <c r="G1065" s="47"/>
      <c r="H1065" s="47"/>
    </row>
    <row r="1066" spans="2:8" x14ac:dyDescent="0.2">
      <c r="B1066" s="166"/>
      <c r="D1066" s="47"/>
      <c r="E1066" s="47"/>
      <c r="F1066" s="47"/>
      <c r="G1066" s="47"/>
      <c r="H1066" s="47"/>
    </row>
    <row r="1067" spans="2:8" x14ac:dyDescent="0.2">
      <c r="B1067" s="166"/>
      <c r="D1067" s="47"/>
      <c r="E1067" s="47"/>
      <c r="F1067" s="47"/>
      <c r="G1067" s="47"/>
      <c r="H1067" s="47"/>
    </row>
    <row r="1068" spans="2:8" x14ac:dyDescent="0.2">
      <c r="B1068" s="166"/>
      <c r="D1068" s="47"/>
      <c r="E1068" s="47"/>
      <c r="F1068" s="47"/>
      <c r="G1068" s="47"/>
      <c r="H1068" s="47"/>
    </row>
    <row r="1069" spans="2:8" x14ac:dyDescent="0.2">
      <c r="B1069" s="166"/>
      <c r="D1069" s="47"/>
      <c r="E1069" s="47"/>
      <c r="F1069" s="47"/>
      <c r="G1069" s="47"/>
      <c r="H1069" s="47"/>
    </row>
    <row r="1070" spans="2:8" x14ac:dyDescent="0.2">
      <c r="B1070" s="166"/>
      <c r="D1070" s="47"/>
      <c r="E1070" s="47"/>
      <c r="F1070" s="47"/>
      <c r="G1070" s="47"/>
      <c r="H1070" s="47"/>
    </row>
    <row r="1071" spans="2:8" x14ac:dyDescent="0.2">
      <c r="B1071" s="166"/>
      <c r="D1071" s="47"/>
      <c r="E1071" s="47"/>
      <c r="F1071" s="47"/>
      <c r="G1071" s="47"/>
      <c r="H1071" s="47"/>
    </row>
    <row r="1072" spans="2:8" x14ac:dyDescent="0.2">
      <c r="B1072" s="166"/>
      <c r="D1072" s="47"/>
      <c r="E1072" s="47"/>
      <c r="F1072" s="47"/>
      <c r="G1072" s="47"/>
      <c r="H1072" s="47"/>
    </row>
    <row r="1073" spans="2:8" x14ac:dyDescent="0.2">
      <c r="B1073" s="166"/>
      <c r="D1073" s="47"/>
      <c r="E1073" s="47"/>
      <c r="F1073" s="47"/>
      <c r="G1073" s="47"/>
      <c r="H1073" s="47"/>
    </row>
    <row r="1074" spans="2:8" x14ac:dyDescent="0.2">
      <c r="B1074" s="166"/>
      <c r="D1074" s="47"/>
      <c r="E1074" s="47"/>
      <c r="F1074" s="47"/>
      <c r="G1074" s="47"/>
      <c r="H1074" s="47"/>
    </row>
    <row r="1075" spans="2:8" x14ac:dyDescent="0.2">
      <c r="B1075" s="166"/>
      <c r="D1075" s="47"/>
      <c r="E1075" s="47"/>
      <c r="F1075" s="47"/>
      <c r="G1075" s="47"/>
      <c r="H1075" s="47"/>
    </row>
    <row r="1076" spans="2:8" x14ac:dyDescent="0.2">
      <c r="B1076" s="166"/>
      <c r="D1076" s="47"/>
      <c r="E1076" s="47"/>
      <c r="F1076" s="47"/>
      <c r="G1076" s="47"/>
      <c r="H1076" s="47"/>
    </row>
    <row r="1077" spans="2:8" x14ac:dyDescent="0.2">
      <c r="B1077" s="166"/>
      <c r="D1077" s="47"/>
      <c r="E1077" s="47"/>
      <c r="F1077" s="47"/>
      <c r="G1077" s="47"/>
      <c r="H1077" s="47"/>
    </row>
    <row r="1078" spans="2:8" x14ac:dyDescent="0.2">
      <c r="B1078" s="166"/>
      <c r="D1078" s="47"/>
      <c r="E1078" s="47"/>
      <c r="F1078" s="47"/>
      <c r="G1078" s="47"/>
      <c r="H1078" s="47"/>
    </row>
    <row r="1079" spans="2:8" x14ac:dyDescent="0.2">
      <c r="B1079" s="166"/>
      <c r="D1079" s="47"/>
      <c r="E1079" s="47"/>
      <c r="F1079" s="47"/>
      <c r="G1079" s="47"/>
      <c r="H1079" s="47"/>
    </row>
    <row r="1080" spans="2:8" x14ac:dyDescent="0.2">
      <c r="B1080" s="166"/>
      <c r="D1080" s="47"/>
      <c r="E1080" s="47"/>
      <c r="F1080" s="47"/>
      <c r="G1080" s="47"/>
      <c r="H1080" s="47"/>
    </row>
    <row r="1081" spans="2:8" x14ac:dyDescent="0.2">
      <c r="B1081" s="166"/>
      <c r="D1081" s="47"/>
      <c r="E1081" s="47"/>
      <c r="F1081" s="47"/>
      <c r="G1081" s="47"/>
      <c r="H1081" s="47"/>
    </row>
    <row r="1082" spans="2:8" x14ac:dyDescent="0.2">
      <c r="B1082" s="166"/>
      <c r="D1082" s="47"/>
      <c r="E1082" s="47"/>
      <c r="F1082" s="47"/>
      <c r="G1082" s="47"/>
      <c r="H1082" s="47"/>
    </row>
    <row r="1083" spans="2:8" x14ac:dyDescent="0.2">
      <c r="B1083" s="166"/>
      <c r="D1083" s="47"/>
      <c r="E1083" s="47"/>
      <c r="F1083" s="47"/>
      <c r="G1083" s="47"/>
      <c r="H1083" s="47"/>
    </row>
    <row r="1084" spans="2:8" x14ac:dyDescent="0.2">
      <c r="B1084" s="166"/>
      <c r="D1084" s="47"/>
      <c r="E1084" s="47"/>
      <c r="F1084" s="47"/>
      <c r="G1084" s="47"/>
      <c r="H1084" s="47"/>
    </row>
    <row r="1085" spans="2:8" x14ac:dyDescent="0.2">
      <c r="B1085" s="166"/>
      <c r="D1085" s="47"/>
      <c r="E1085" s="47"/>
      <c r="F1085" s="47"/>
      <c r="G1085" s="47"/>
      <c r="H1085" s="47"/>
    </row>
    <row r="1086" spans="2:8" x14ac:dyDescent="0.2">
      <c r="B1086" s="166"/>
      <c r="D1086" s="47"/>
      <c r="E1086" s="47"/>
      <c r="F1086" s="47"/>
      <c r="G1086" s="47"/>
      <c r="H1086" s="47"/>
    </row>
    <row r="1087" spans="2:8" x14ac:dyDescent="0.2">
      <c r="B1087" s="166"/>
      <c r="D1087" s="47"/>
      <c r="E1087" s="47"/>
      <c r="F1087" s="47"/>
      <c r="G1087" s="47"/>
      <c r="H1087" s="47"/>
    </row>
    <row r="1088" spans="2:8" x14ac:dyDescent="0.2">
      <c r="B1088" s="166"/>
      <c r="D1088" s="47"/>
      <c r="E1088" s="47"/>
      <c r="F1088" s="47"/>
      <c r="G1088" s="47"/>
      <c r="H1088" s="47"/>
    </row>
    <row r="1089" spans="2:8" x14ac:dyDescent="0.2">
      <c r="B1089" s="166"/>
      <c r="D1089" s="47"/>
      <c r="E1089" s="47"/>
      <c r="F1089" s="47"/>
      <c r="G1089" s="47"/>
      <c r="H1089" s="47"/>
    </row>
    <row r="1090" spans="2:8" x14ac:dyDescent="0.2">
      <c r="B1090" s="166"/>
      <c r="D1090" s="47"/>
      <c r="E1090" s="47"/>
      <c r="F1090" s="47"/>
      <c r="G1090" s="47"/>
      <c r="H1090" s="47"/>
    </row>
    <row r="1091" spans="2:8" x14ac:dyDescent="0.2">
      <c r="B1091" s="166"/>
      <c r="D1091" s="47"/>
      <c r="E1091" s="47"/>
      <c r="F1091" s="47"/>
      <c r="G1091" s="47"/>
      <c r="H1091" s="47"/>
    </row>
    <row r="1092" spans="2:8" x14ac:dyDescent="0.2">
      <c r="B1092" s="166"/>
      <c r="D1092" s="47"/>
      <c r="E1092" s="47"/>
      <c r="F1092" s="47"/>
      <c r="G1092" s="47"/>
      <c r="H1092" s="47"/>
    </row>
    <row r="1093" spans="2:8" x14ac:dyDescent="0.2">
      <c r="B1093" s="166"/>
      <c r="D1093" s="47"/>
      <c r="E1093" s="47"/>
      <c r="F1093" s="47"/>
      <c r="G1093" s="47"/>
      <c r="H1093" s="47"/>
    </row>
    <row r="1094" spans="2:8" x14ac:dyDescent="0.2">
      <c r="B1094" s="166"/>
      <c r="D1094" s="47"/>
      <c r="E1094" s="47"/>
      <c r="F1094" s="47"/>
      <c r="G1094" s="47"/>
      <c r="H1094" s="47"/>
    </row>
    <row r="1095" spans="2:8" x14ac:dyDescent="0.2">
      <c r="B1095" s="166"/>
      <c r="D1095" s="47"/>
      <c r="E1095" s="47"/>
      <c r="F1095" s="47"/>
      <c r="G1095" s="47"/>
      <c r="H1095" s="47"/>
    </row>
    <row r="1096" spans="2:8" x14ac:dyDescent="0.2">
      <c r="B1096" s="166"/>
      <c r="D1096" s="47"/>
      <c r="E1096" s="47"/>
      <c r="F1096" s="47"/>
      <c r="G1096" s="47"/>
      <c r="H1096" s="47"/>
    </row>
    <row r="1097" spans="2:8" x14ac:dyDescent="0.2">
      <c r="B1097" s="166"/>
      <c r="D1097" s="47"/>
      <c r="E1097" s="47"/>
      <c r="F1097" s="47"/>
      <c r="G1097" s="47"/>
      <c r="H1097" s="47"/>
    </row>
    <row r="1098" spans="2:8" x14ac:dyDescent="0.2">
      <c r="B1098" s="166"/>
      <c r="D1098" s="47"/>
      <c r="E1098" s="47"/>
      <c r="F1098" s="47"/>
      <c r="G1098" s="47"/>
      <c r="H1098" s="47"/>
    </row>
    <row r="1099" spans="2:8" x14ac:dyDescent="0.2">
      <c r="B1099" s="166"/>
      <c r="D1099" s="47"/>
      <c r="E1099" s="47"/>
      <c r="F1099" s="47"/>
      <c r="G1099" s="47"/>
      <c r="H1099" s="47"/>
    </row>
    <row r="1100" spans="2:8" x14ac:dyDescent="0.2">
      <c r="B1100" s="166"/>
      <c r="D1100" s="47"/>
      <c r="E1100" s="47"/>
      <c r="F1100" s="47"/>
      <c r="G1100" s="47"/>
      <c r="H1100" s="47"/>
    </row>
    <row r="1101" spans="2:8" x14ac:dyDescent="0.2">
      <c r="B1101" s="166"/>
      <c r="D1101" s="47"/>
      <c r="E1101" s="47"/>
      <c r="F1101" s="47"/>
      <c r="G1101" s="47"/>
      <c r="H1101" s="47"/>
    </row>
    <row r="1102" spans="2:8" x14ac:dyDescent="0.2">
      <c r="B1102" s="166"/>
      <c r="D1102" s="47"/>
      <c r="E1102" s="47"/>
      <c r="F1102" s="47"/>
      <c r="G1102" s="47"/>
      <c r="H1102" s="47"/>
    </row>
    <row r="1103" spans="2:8" x14ac:dyDescent="0.2">
      <c r="B1103" s="166"/>
      <c r="D1103" s="47"/>
      <c r="E1103" s="47"/>
      <c r="F1103" s="47"/>
      <c r="G1103" s="47"/>
      <c r="H1103" s="47"/>
    </row>
    <row r="1104" spans="2:8" x14ac:dyDescent="0.2">
      <c r="B1104" s="166"/>
      <c r="D1104" s="47"/>
      <c r="E1104" s="47"/>
      <c r="F1104" s="47"/>
      <c r="G1104" s="47"/>
      <c r="H1104" s="47"/>
    </row>
    <row r="1105" spans="2:8" x14ac:dyDescent="0.2">
      <c r="B1105" s="166"/>
      <c r="D1105" s="47"/>
      <c r="E1105" s="47"/>
      <c r="F1105" s="47"/>
      <c r="G1105" s="47"/>
      <c r="H1105" s="47"/>
    </row>
    <row r="1106" spans="2:8" x14ac:dyDescent="0.2">
      <c r="B1106" s="166"/>
      <c r="D1106" s="47"/>
      <c r="E1106" s="47"/>
      <c r="F1106" s="47"/>
      <c r="G1106" s="47"/>
      <c r="H1106" s="47"/>
    </row>
    <row r="1107" spans="2:8" x14ac:dyDescent="0.2">
      <c r="B1107" s="166"/>
      <c r="D1107" s="47"/>
      <c r="E1107" s="47"/>
      <c r="F1107" s="47"/>
      <c r="G1107" s="47"/>
      <c r="H1107" s="47"/>
    </row>
    <row r="1108" spans="2:8" x14ac:dyDescent="0.2">
      <c r="B1108" s="166"/>
      <c r="D1108" s="47"/>
      <c r="E1108" s="47"/>
      <c r="F1108" s="47"/>
      <c r="G1108" s="47"/>
      <c r="H1108" s="47"/>
    </row>
    <row r="1109" spans="2:8" x14ac:dyDescent="0.2">
      <c r="B1109" s="166"/>
      <c r="D1109" s="47"/>
      <c r="E1109" s="47"/>
      <c r="F1109" s="47"/>
      <c r="G1109" s="47"/>
      <c r="H1109" s="47"/>
    </row>
    <row r="1110" spans="2:8" x14ac:dyDescent="0.2">
      <c r="B1110" s="166"/>
      <c r="D1110" s="47"/>
      <c r="E1110" s="47"/>
      <c r="F1110" s="47"/>
      <c r="G1110" s="47"/>
      <c r="H1110" s="47"/>
    </row>
    <row r="1111" spans="2:8" x14ac:dyDescent="0.2">
      <c r="B1111" s="166"/>
      <c r="D1111" s="47"/>
      <c r="E1111" s="47"/>
      <c r="F1111" s="47"/>
      <c r="G1111" s="47"/>
      <c r="H1111" s="47"/>
    </row>
    <row r="1112" spans="2:8" x14ac:dyDescent="0.2">
      <c r="B1112" s="166"/>
      <c r="D1112" s="47"/>
      <c r="E1112" s="47"/>
      <c r="F1112" s="47"/>
      <c r="G1112" s="47"/>
      <c r="H1112" s="47"/>
    </row>
    <row r="1113" spans="2:8" x14ac:dyDescent="0.2">
      <c r="B1113" s="166"/>
      <c r="D1113" s="47"/>
      <c r="E1113" s="47"/>
      <c r="F1113" s="47"/>
      <c r="G1113" s="47"/>
      <c r="H1113" s="47"/>
    </row>
    <row r="1114" spans="2:8" x14ac:dyDescent="0.2">
      <c r="B1114" s="166"/>
      <c r="D1114" s="47"/>
      <c r="E1114" s="47"/>
      <c r="F1114" s="47"/>
      <c r="G1114" s="47"/>
      <c r="H1114" s="47"/>
    </row>
    <row r="1115" spans="2:8" x14ac:dyDescent="0.2">
      <c r="B1115" s="166"/>
      <c r="D1115" s="47"/>
      <c r="E1115" s="47"/>
      <c r="F1115" s="47"/>
      <c r="G1115" s="47"/>
      <c r="H1115" s="47"/>
    </row>
    <row r="1116" spans="2:8" x14ac:dyDescent="0.2">
      <c r="B1116" s="166"/>
      <c r="D1116" s="47"/>
      <c r="E1116" s="47"/>
      <c r="F1116" s="47"/>
      <c r="G1116" s="47"/>
      <c r="H1116" s="47"/>
    </row>
    <row r="1117" spans="2:8" x14ac:dyDescent="0.2">
      <c r="B1117" s="166"/>
      <c r="D1117" s="47"/>
      <c r="E1117" s="47"/>
      <c r="F1117" s="47"/>
      <c r="G1117" s="47"/>
      <c r="H1117" s="47"/>
    </row>
    <row r="1118" spans="2:8" x14ac:dyDescent="0.2">
      <c r="B1118" s="166"/>
      <c r="D1118" s="47"/>
      <c r="E1118" s="47"/>
      <c r="F1118" s="47"/>
      <c r="G1118" s="47"/>
      <c r="H1118" s="47"/>
    </row>
    <row r="1119" spans="2:8" x14ac:dyDescent="0.2">
      <c r="B1119" s="166"/>
      <c r="D1119" s="47"/>
      <c r="E1119" s="47"/>
      <c r="F1119" s="47"/>
      <c r="G1119" s="47"/>
      <c r="H1119" s="47"/>
    </row>
    <row r="1120" spans="2:8" x14ac:dyDescent="0.2">
      <c r="B1120" s="166"/>
      <c r="D1120" s="47"/>
      <c r="E1120" s="47"/>
      <c r="F1120" s="47"/>
      <c r="G1120" s="47"/>
      <c r="H1120" s="47"/>
    </row>
    <row r="1121" spans="2:8" x14ac:dyDescent="0.2">
      <c r="B1121" s="166"/>
      <c r="D1121" s="47"/>
      <c r="E1121" s="47"/>
      <c r="F1121" s="47"/>
      <c r="G1121" s="47"/>
      <c r="H1121" s="47"/>
    </row>
    <row r="1122" spans="2:8" x14ac:dyDescent="0.2">
      <c r="B1122" s="166"/>
      <c r="D1122" s="47"/>
      <c r="E1122" s="47"/>
      <c r="F1122" s="47"/>
      <c r="G1122" s="47"/>
      <c r="H1122" s="47"/>
    </row>
    <row r="1123" spans="2:8" x14ac:dyDescent="0.2">
      <c r="B1123" s="166"/>
      <c r="D1123" s="47"/>
      <c r="E1123" s="47"/>
      <c r="F1123" s="47"/>
      <c r="G1123" s="47"/>
      <c r="H1123" s="47"/>
    </row>
    <row r="1124" spans="2:8" x14ac:dyDescent="0.2">
      <c r="B1124" s="166"/>
      <c r="D1124" s="47"/>
      <c r="E1124" s="47"/>
      <c r="F1124" s="47"/>
      <c r="G1124" s="47"/>
      <c r="H1124" s="47"/>
    </row>
    <row r="1125" spans="2:8" x14ac:dyDescent="0.2">
      <c r="B1125" s="166"/>
      <c r="D1125" s="47"/>
      <c r="E1125" s="47"/>
      <c r="F1125" s="47"/>
      <c r="G1125" s="47"/>
      <c r="H1125" s="47"/>
    </row>
    <row r="1126" spans="2:8" x14ac:dyDescent="0.2">
      <c r="B1126" s="166"/>
      <c r="D1126" s="47"/>
      <c r="E1126" s="47"/>
      <c r="F1126" s="47"/>
      <c r="G1126" s="47"/>
      <c r="H1126" s="47"/>
    </row>
    <row r="1127" spans="2:8" x14ac:dyDescent="0.2">
      <c r="B1127" s="166"/>
      <c r="D1127" s="47"/>
      <c r="E1127" s="47"/>
      <c r="F1127" s="47"/>
      <c r="G1127" s="47"/>
      <c r="H1127" s="47"/>
    </row>
    <row r="1128" spans="2:8" x14ac:dyDescent="0.2">
      <c r="B1128" s="166"/>
      <c r="D1128" s="47"/>
      <c r="E1128" s="47"/>
      <c r="F1128" s="47"/>
      <c r="G1128" s="47"/>
      <c r="H1128" s="47"/>
    </row>
    <row r="1129" spans="2:8" x14ac:dyDescent="0.2">
      <c r="B1129" s="166"/>
      <c r="D1129" s="47"/>
      <c r="E1129" s="47"/>
      <c r="F1129" s="47"/>
      <c r="G1129" s="47"/>
      <c r="H1129" s="47"/>
    </row>
    <row r="1130" spans="2:8" x14ac:dyDescent="0.2">
      <c r="B1130" s="166"/>
      <c r="D1130" s="47"/>
      <c r="E1130" s="47"/>
      <c r="F1130" s="47"/>
      <c r="G1130" s="47"/>
      <c r="H1130" s="47"/>
    </row>
    <row r="1131" spans="2:8" x14ac:dyDescent="0.2">
      <c r="B1131" s="166"/>
      <c r="D1131" s="47"/>
      <c r="E1131" s="47"/>
      <c r="F1131" s="47"/>
      <c r="G1131" s="47"/>
      <c r="H1131" s="47"/>
    </row>
    <row r="1132" spans="2:8" x14ac:dyDescent="0.2">
      <c r="B1132" s="166"/>
      <c r="D1132" s="47"/>
      <c r="E1132" s="47"/>
      <c r="F1132" s="47"/>
      <c r="G1132" s="47"/>
      <c r="H1132" s="47"/>
    </row>
    <row r="1133" spans="2:8" x14ac:dyDescent="0.2">
      <c r="B1133" s="166"/>
      <c r="D1133" s="47"/>
      <c r="E1133" s="47"/>
      <c r="F1133" s="47"/>
      <c r="G1133" s="47"/>
      <c r="H1133" s="47"/>
    </row>
    <row r="1134" spans="2:8" x14ac:dyDescent="0.2">
      <c r="B1134" s="166"/>
      <c r="D1134" s="47"/>
      <c r="E1134" s="47"/>
      <c r="F1134" s="47"/>
      <c r="G1134" s="47"/>
      <c r="H1134" s="47"/>
    </row>
    <row r="1135" spans="2:8" x14ac:dyDescent="0.2">
      <c r="B1135" s="166"/>
      <c r="D1135" s="47"/>
      <c r="E1135" s="47"/>
      <c r="F1135" s="47"/>
      <c r="G1135" s="47"/>
      <c r="H1135" s="47"/>
    </row>
    <row r="1136" spans="2:8" x14ac:dyDescent="0.2">
      <c r="B1136" s="166"/>
      <c r="D1136" s="47"/>
      <c r="E1136" s="47"/>
      <c r="F1136" s="47"/>
      <c r="G1136" s="47"/>
      <c r="H1136" s="47"/>
    </row>
    <row r="1137" spans="2:8" x14ac:dyDescent="0.2">
      <c r="B1137" s="166"/>
      <c r="D1137" s="47"/>
      <c r="E1137" s="47"/>
      <c r="F1137" s="47"/>
      <c r="G1137" s="47"/>
      <c r="H1137" s="47"/>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BT105"/>
  <sheetViews>
    <sheetView topLeftCell="A22" zoomScaleNormal="100" workbookViewId="0">
      <selection activeCell="C4" sqref="C4"/>
    </sheetView>
  </sheetViews>
  <sheetFormatPr defaultColWidth="9.140625" defaultRowHeight="14.25" x14ac:dyDescent="0.2"/>
  <cols>
    <col min="1" max="1" width="5.7109375" style="68" customWidth="1"/>
    <col min="2" max="2" width="37.7109375" style="69" customWidth="1"/>
    <col min="3" max="3" width="14.28515625" style="69" customWidth="1"/>
    <col min="4" max="4" width="15.28515625" style="69" customWidth="1"/>
    <col min="5" max="6" width="25.7109375" style="69" customWidth="1"/>
    <col min="7" max="7" width="28" style="69" customWidth="1"/>
    <col min="8" max="8" width="19.7109375" style="63" customWidth="1"/>
    <col min="9" max="23" width="9.140625" style="64"/>
    <col min="24" max="16384" width="9.140625" style="63"/>
  </cols>
  <sheetData>
    <row r="1" spans="1:7" s="64" customFormat="1" ht="60" customHeight="1" x14ac:dyDescent="0.2">
      <c r="A1" s="107" t="s">
        <v>438</v>
      </c>
      <c r="B1" s="107" t="s">
        <v>367</v>
      </c>
      <c r="C1" s="107" t="s">
        <v>229</v>
      </c>
      <c r="D1" s="107" t="s">
        <v>368</v>
      </c>
      <c r="E1" s="107" t="s">
        <v>369</v>
      </c>
      <c r="F1" s="107" t="s">
        <v>370</v>
      </c>
      <c r="G1" s="12" t="s">
        <v>371</v>
      </c>
    </row>
    <row r="2" spans="1:7" s="64" customFormat="1" ht="39" customHeight="1" x14ac:dyDescent="0.2">
      <c r="A2" s="124" t="s">
        <v>56</v>
      </c>
      <c r="B2" s="125" t="s">
        <v>372</v>
      </c>
      <c r="C2" s="126">
        <v>2246</v>
      </c>
      <c r="D2" s="77"/>
      <c r="E2" s="77"/>
      <c r="F2" s="77"/>
      <c r="G2" s="78"/>
    </row>
    <row r="3" spans="1:7" s="64" customFormat="1" ht="39" customHeight="1" x14ac:dyDescent="0.2">
      <c r="A3" s="79"/>
      <c r="B3" s="79" t="s">
        <v>440</v>
      </c>
      <c r="C3" s="127" t="s">
        <v>441</v>
      </c>
      <c r="D3" s="79">
        <v>300000</v>
      </c>
      <c r="E3" s="79">
        <v>25350</v>
      </c>
      <c r="F3" s="79">
        <v>7605000000</v>
      </c>
      <c r="G3" s="80">
        <v>0.14769810113869455</v>
      </c>
    </row>
    <row r="4" spans="1:7" s="64" customFormat="1" ht="39" customHeight="1" x14ac:dyDescent="0.2">
      <c r="A4" s="79"/>
      <c r="B4" s="79" t="s">
        <v>511</v>
      </c>
      <c r="C4" s="127" t="s">
        <v>442</v>
      </c>
      <c r="D4" s="79">
        <v>20000</v>
      </c>
      <c r="E4" s="79">
        <v>50800</v>
      </c>
      <c r="F4" s="79">
        <v>1016000000</v>
      </c>
      <c r="G4" s="80">
        <v>1.9731922518989305E-2</v>
      </c>
    </row>
    <row r="5" spans="1:7" s="64" customFormat="1" ht="39" customHeight="1" x14ac:dyDescent="0.2">
      <c r="A5" s="79"/>
      <c r="B5" s="79" t="s">
        <v>493</v>
      </c>
      <c r="C5" s="127" t="s">
        <v>443</v>
      </c>
      <c r="D5" s="79">
        <v>30000</v>
      </c>
      <c r="E5" s="79">
        <v>46900</v>
      </c>
      <c r="F5" s="79">
        <v>1407000000</v>
      </c>
      <c r="G5" s="80">
        <v>2.7325605299427118E-2</v>
      </c>
    </row>
    <row r="6" spans="1:7" s="64" customFormat="1" ht="39" customHeight="1" x14ac:dyDescent="0.2">
      <c r="A6" s="79"/>
      <c r="B6" s="79" t="s">
        <v>494</v>
      </c>
      <c r="C6" s="127" t="s">
        <v>444</v>
      </c>
      <c r="D6" s="79">
        <v>50000</v>
      </c>
      <c r="E6" s="79">
        <v>34600</v>
      </c>
      <c r="F6" s="79">
        <v>1730000000</v>
      </c>
      <c r="G6" s="80">
        <v>3.3598647596310531E-2</v>
      </c>
    </row>
    <row r="7" spans="1:7" s="64" customFormat="1" ht="39" customHeight="1" x14ac:dyDescent="0.2">
      <c r="A7" s="79"/>
      <c r="B7" s="79" t="s">
        <v>495</v>
      </c>
      <c r="C7" s="127" t="s">
        <v>445</v>
      </c>
      <c r="D7" s="79">
        <v>100000</v>
      </c>
      <c r="E7" s="79">
        <v>26550</v>
      </c>
      <c r="F7" s="79">
        <v>2655000000</v>
      </c>
      <c r="G7" s="80">
        <v>5.1563242409366737E-2</v>
      </c>
    </row>
    <row r="8" spans="1:7" s="64" customFormat="1" ht="39" customHeight="1" x14ac:dyDescent="0.2">
      <c r="A8" s="79"/>
      <c r="B8" s="79" t="s">
        <v>496</v>
      </c>
      <c r="C8" s="127" t="s">
        <v>446</v>
      </c>
      <c r="D8" s="79">
        <v>10000</v>
      </c>
      <c r="E8" s="79">
        <v>97600</v>
      </c>
      <c r="F8" s="79">
        <v>976000000</v>
      </c>
      <c r="G8" s="80">
        <v>1.8955075175722012E-2</v>
      </c>
    </row>
    <row r="9" spans="1:7" s="64" customFormat="1" ht="39" customHeight="1" x14ac:dyDescent="0.2">
      <c r="A9" s="79"/>
      <c r="B9" s="79" t="s">
        <v>475</v>
      </c>
      <c r="C9" s="127" t="s">
        <v>447</v>
      </c>
      <c r="D9" s="79">
        <v>50000</v>
      </c>
      <c r="E9" s="79">
        <v>50600</v>
      </c>
      <c r="F9" s="79">
        <v>2530000000</v>
      </c>
      <c r="G9" s="80">
        <v>4.913559446165644E-2</v>
      </c>
    </row>
    <row r="10" spans="1:7" s="64" customFormat="1" ht="39" customHeight="1" x14ac:dyDescent="0.2">
      <c r="A10" s="79"/>
      <c r="B10" s="79" t="s">
        <v>490</v>
      </c>
      <c r="C10" s="127" t="s">
        <v>448</v>
      </c>
      <c r="D10" s="79">
        <v>70000</v>
      </c>
      <c r="E10" s="79">
        <v>13500</v>
      </c>
      <c r="F10" s="79">
        <v>945000000</v>
      </c>
      <c r="G10" s="80">
        <v>1.8353018484689856E-2</v>
      </c>
    </row>
    <row r="11" spans="1:7" s="64" customFormat="1" ht="39" customHeight="1" x14ac:dyDescent="0.2">
      <c r="A11" s="79"/>
      <c r="B11" s="79" t="s">
        <v>497</v>
      </c>
      <c r="C11" s="127" t="s">
        <v>449</v>
      </c>
      <c r="D11" s="79">
        <v>10000</v>
      </c>
      <c r="E11" s="79">
        <v>81500</v>
      </c>
      <c r="F11" s="79">
        <v>815000000</v>
      </c>
      <c r="G11" s="80">
        <v>1.5828264619071147E-2</v>
      </c>
    </row>
    <row r="12" spans="1:7" s="64" customFormat="1" ht="39" customHeight="1" x14ac:dyDescent="0.2">
      <c r="A12" s="79"/>
      <c r="B12" s="79" t="s">
        <v>452</v>
      </c>
      <c r="C12" s="127" t="s">
        <v>450</v>
      </c>
      <c r="D12" s="79">
        <v>350000</v>
      </c>
      <c r="E12" s="79">
        <v>24750</v>
      </c>
      <c r="F12" s="79">
        <v>8662500000</v>
      </c>
      <c r="G12" s="80">
        <v>0.16823600277632367</v>
      </c>
    </row>
    <row r="13" spans="1:7" s="64" customFormat="1" ht="39" customHeight="1" x14ac:dyDescent="0.2">
      <c r="A13" s="79"/>
      <c r="B13" s="79" t="s">
        <v>491</v>
      </c>
      <c r="C13" s="127" t="s">
        <v>451</v>
      </c>
      <c r="D13" s="79">
        <v>50000</v>
      </c>
      <c r="E13" s="79">
        <v>34400</v>
      </c>
      <c r="F13" s="79">
        <v>1720000000</v>
      </c>
      <c r="G13" s="80">
        <v>3.3404435760493706E-2</v>
      </c>
    </row>
    <row r="14" spans="1:7" s="64" customFormat="1" ht="39" customHeight="1" x14ac:dyDescent="0.2">
      <c r="A14" s="79"/>
      <c r="B14" s="79" t="s">
        <v>492</v>
      </c>
      <c r="C14" s="127" t="s">
        <v>498</v>
      </c>
      <c r="D14" s="79">
        <v>30000</v>
      </c>
      <c r="E14" s="79">
        <v>39700</v>
      </c>
      <c r="F14" s="79">
        <v>1191000000</v>
      </c>
      <c r="G14" s="80">
        <v>2.3130629645783725E-2</v>
      </c>
    </row>
    <row r="15" spans="1:7" s="64" customFormat="1" ht="39" customHeight="1" x14ac:dyDescent="0.2">
      <c r="A15" s="79"/>
      <c r="B15" s="79" t="s">
        <v>476</v>
      </c>
      <c r="C15" s="127" t="s">
        <v>499</v>
      </c>
      <c r="D15" s="79">
        <v>350000</v>
      </c>
      <c r="E15" s="79">
        <v>20650</v>
      </c>
      <c r="F15" s="79">
        <v>7227500000</v>
      </c>
      <c r="G15" s="80">
        <v>0.14036660433660947</v>
      </c>
    </row>
    <row r="16" spans="1:7" s="64" customFormat="1" ht="39" customHeight="1" x14ac:dyDescent="0.2">
      <c r="A16" s="79"/>
      <c r="B16" s="79" t="s">
        <v>500</v>
      </c>
      <c r="C16" s="127" t="s">
        <v>501</v>
      </c>
      <c r="D16" s="79">
        <v>70000</v>
      </c>
      <c r="E16" s="79">
        <v>14100</v>
      </c>
      <c r="F16" s="79">
        <v>987000000</v>
      </c>
      <c r="G16" s="80">
        <v>1.9168708195120517E-2</v>
      </c>
    </row>
    <row r="17" spans="1:72" s="64" customFormat="1" ht="39" customHeight="1" x14ac:dyDescent="0.2">
      <c r="A17" s="79"/>
      <c r="B17" s="79" t="s">
        <v>477</v>
      </c>
      <c r="C17" s="127" t="s">
        <v>502</v>
      </c>
      <c r="D17" s="79">
        <v>30000</v>
      </c>
      <c r="E17" s="79">
        <v>62200</v>
      </c>
      <c r="F17" s="79">
        <v>1866000000</v>
      </c>
      <c r="G17" s="80">
        <v>3.6239928563419337E-2</v>
      </c>
    </row>
    <row r="18" spans="1:72" s="64" customFormat="1" ht="39" customHeight="1" x14ac:dyDescent="0.2">
      <c r="A18" s="79"/>
      <c r="B18" s="79" t="s">
        <v>474</v>
      </c>
      <c r="C18" s="127" t="s">
        <v>503</v>
      </c>
      <c r="D18" s="79">
        <v>200000</v>
      </c>
      <c r="E18" s="79">
        <v>18900</v>
      </c>
      <c r="F18" s="79">
        <v>3780000000</v>
      </c>
      <c r="G18" s="80">
        <v>7.3412073938759426E-2</v>
      </c>
    </row>
    <row r="19" spans="1:72" s="64" customFormat="1" ht="39" customHeight="1" x14ac:dyDescent="0.2">
      <c r="A19" s="79"/>
      <c r="B19" s="79" t="s">
        <v>504</v>
      </c>
      <c r="C19" s="127" t="s">
        <v>505</v>
      </c>
      <c r="D19" s="79">
        <v>50000</v>
      </c>
      <c r="E19" s="79">
        <v>13900</v>
      </c>
      <c r="F19" s="79">
        <v>695000000</v>
      </c>
      <c r="G19" s="80">
        <v>1.3497722589269259E-2</v>
      </c>
    </row>
    <row r="20" spans="1:72" s="66" customFormat="1" ht="39" customHeight="1" x14ac:dyDescent="0.2">
      <c r="A20" s="128"/>
      <c r="B20" s="129" t="s">
        <v>373</v>
      </c>
      <c r="C20" s="130">
        <v>2247</v>
      </c>
      <c r="D20" s="79">
        <v>1770000</v>
      </c>
      <c r="E20" s="79"/>
      <c r="F20" s="79">
        <v>45808000000</v>
      </c>
      <c r="G20" s="80">
        <v>0.88964557750970685</v>
      </c>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row>
    <row r="21" spans="1:72" s="65" customFormat="1" ht="39" customHeight="1" x14ac:dyDescent="0.2">
      <c r="A21" s="124" t="s">
        <v>89</v>
      </c>
      <c r="B21" s="125" t="s">
        <v>374</v>
      </c>
      <c r="C21" s="126">
        <v>2248</v>
      </c>
      <c r="D21" s="77"/>
      <c r="E21" s="77"/>
      <c r="F21" s="77"/>
      <c r="G21" s="81"/>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row>
    <row r="22" spans="1:72" s="65" customFormat="1" ht="39" customHeight="1" x14ac:dyDescent="0.2">
      <c r="A22" s="128"/>
      <c r="B22" s="129" t="s">
        <v>373</v>
      </c>
      <c r="C22" s="130">
        <v>2249</v>
      </c>
      <c r="D22" s="79">
        <v>0</v>
      </c>
      <c r="E22" s="79"/>
      <c r="F22" s="79">
        <v>0</v>
      </c>
      <c r="G22" s="79">
        <v>0</v>
      </c>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row>
    <row r="23" spans="1:72" s="65" customFormat="1" ht="30" customHeight="1" x14ac:dyDescent="0.2">
      <c r="A23" s="131"/>
      <c r="B23" s="132" t="s">
        <v>375</v>
      </c>
      <c r="C23" s="133">
        <v>2250</v>
      </c>
      <c r="D23" s="82">
        <v>1770000</v>
      </c>
      <c r="E23" s="82"/>
      <c r="F23" s="82">
        <v>45808000000</v>
      </c>
      <c r="G23" s="134">
        <v>0.88964557750970685</v>
      </c>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row>
    <row r="24" spans="1:72" s="64" customFormat="1" ht="39" customHeight="1" x14ac:dyDescent="0.2">
      <c r="A24" s="124" t="s">
        <v>116</v>
      </c>
      <c r="B24" s="125" t="s">
        <v>376</v>
      </c>
      <c r="C24" s="126">
        <v>2251</v>
      </c>
      <c r="D24" s="77"/>
      <c r="E24" s="77"/>
      <c r="F24" s="77"/>
      <c r="G24" s="83"/>
    </row>
    <row r="25" spans="1:72" s="64" customFormat="1" ht="39" customHeight="1" x14ac:dyDescent="0.2">
      <c r="A25" s="128">
        <v>1</v>
      </c>
      <c r="B25" s="129" t="s">
        <v>420</v>
      </c>
      <c r="C25" s="135">
        <v>2251.1</v>
      </c>
      <c r="D25" s="79">
        <v>0</v>
      </c>
      <c r="E25" s="79"/>
      <c r="F25" s="79">
        <v>0</v>
      </c>
      <c r="G25" s="79">
        <v>0</v>
      </c>
    </row>
    <row r="26" spans="1:72" s="64" customFormat="1" ht="39" customHeight="1" x14ac:dyDescent="0.2">
      <c r="A26" s="128">
        <v>2</v>
      </c>
      <c r="B26" s="129" t="s">
        <v>421</v>
      </c>
      <c r="C26" s="135">
        <v>2251.1999999999998</v>
      </c>
      <c r="D26" s="79">
        <v>0</v>
      </c>
      <c r="E26" s="79"/>
      <c r="F26" s="79">
        <v>0</v>
      </c>
      <c r="G26" s="79">
        <v>0</v>
      </c>
    </row>
    <row r="27" spans="1:72" s="65" customFormat="1" ht="39" customHeight="1" x14ac:dyDescent="0.2">
      <c r="A27" s="128"/>
      <c r="B27" s="129" t="s">
        <v>373</v>
      </c>
      <c r="C27" s="130">
        <v>2252</v>
      </c>
      <c r="D27" s="79">
        <v>0</v>
      </c>
      <c r="E27" s="79"/>
      <c r="F27" s="79">
        <v>0</v>
      </c>
      <c r="G27" s="79">
        <v>0</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row>
    <row r="28" spans="1:72" s="64" customFormat="1" ht="39" customHeight="1" x14ac:dyDescent="0.2">
      <c r="A28" s="124" t="s">
        <v>118</v>
      </c>
      <c r="B28" s="125" t="s">
        <v>377</v>
      </c>
      <c r="C28" s="126">
        <v>2253</v>
      </c>
      <c r="D28" s="77"/>
      <c r="E28" s="77"/>
      <c r="F28" s="77"/>
      <c r="G28" s="83"/>
    </row>
    <row r="29" spans="1:72" s="64" customFormat="1" ht="39" customHeight="1" x14ac:dyDescent="0.2">
      <c r="A29" s="136" t="s">
        <v>9</v>
      </c>
      <c r="B29" s="137" t="s">
        <v>378</v>
      </c>
      <c r="C29" s="135" t="s">
        <v>379</v>
      </c>
      <c r="D29" s="79">
        <v>0</v>
      </c>
      <c r="E29" s="79"/>
      <c r="F29" s="79">
        <v>0</v>
      </c>
      <c r="G29" s="79">
        <v>0</v>
      </c>
    </row>
    <row r="30" spans="1:72" s="64" customFormat="1" ht="38.25" hidden="1" customHeight="1" x14ac:dyDescent="0.2">
      <c r="A30" s="136"/>
      <c r="B30" s="129"/>
      <c r="C30" s="135" t="s">
        <v>422</v>
      </c>
      <c r="D30" s="79">
        <v>0</v>
      </c>
      <c r="E30" s="79"/>
      <c r="F30" s="79">
        <v>0</v>
      </c>
      <c r="G30" s="79">
        <v>0</v>
      </c>
    </row>
    <row r="31" spans="1:72" s="64" customFormat="1" ht="39" customHeight="1" x14ac:dyDescent="0.2">
      <c r="A31" s="84"/>
      <c r="B31" s="129" t="s">
        <v>373</v>
      </c>
      <c r="C31" s="138">
        <v>2254</v>
      </c>
      <c r="D31" s="79">
        <v>0</v>
      </c>
      <c r="E31" s="79"/>
      <c r="F31" s="79">
        <v>0</v>
      </c>
      <c r="G31" s="79">
        <v>0</v>
      </c>
    </row>
    <row r="32" spans="1:72" s="64" customFormat="1" ht="51" customHeight="1" x14ac:dyDescent="0.2">
      <c r="A32" s="124"/>
      <c r="B32" s="125" t="s">
        <v>380</v>
      </c>
      <c r="C32" s="126">
        <v>2255</v>
      </c>
      <c r="D32" s="77">
        <v>1770000</v>
      </c>
      <c r="E32" s="77"/>
      <c r="F32" s="77">
        <v>45808000000</v>
      </c>
      <c r="G32" s="139">
        <v>0.88964557750970685</v>
      </c>
    </row>
    <row r="33" spans="1:72" s="67" customFormat="1" ht="53.25" customHeight="1" x14ac:dyDescent="0.2">
      <c r="A33" s="124" t="s">
        <v>123</v>
      </c>
      <c r="B33" s="125" t="s">
        <v>381</v>
      </c>
      <c r="C33" s="126">
        <v>2256</v>
      </c>
      <c r="D33" s="77"/>
      <c r="E33" s="77"/>
      <c r="F33" s="85"/>
      <c r="G33" s="86"/>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row>
    <row r="34" spans="1:72" ht="28.5" x14ac:dyDescent="0.2">
      <c r="A34" s="128">
        <v>1</v>
      </c>
      <c r="B34" s="129" t="s">
        <v>382</v>
      </c>
      <c r="C34" s="130">
        <v>2256.1</v>
      </c>
      <c r="D34" s="87"/>
      <c r="E34" s="87"/>
      <c r="F34" s="87">
        <v>85000000</v>
      </c>
      <c r="G34" s="108">
        <v>1.650800604443003E-3</v>
      </c>
      <c r="H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row>
    <row r="35" spans="1:72" ht="28.5" x14ac:dyDescent="0.2">
      <c r="A35" s="128">
        <v>2</v>
      </c>
      <c r="B35" s="129" t="s">
        <v>383</v>
      </c>
      <c r="C35" s="130">
        <v>2256.1999999999998</v>
      </c>
      <c r="D35" s="87"/>
      <c r="E35" s="87"/>
      <c r="F35" s="87">
        <v>0</v>
      </c>
      <c r="G35" s="87">
        <v>0</v>
      </c>
      <c r="H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row>
    <row r="36" spans="1:72" ht="28.5" x14ac:dyDescent="0.2">
      <c r="A36" s="140">
        <v>3</v>
      </c>
      <c r="B36" s="141" t="s">
        <v>384</v>
      </c>
      <c r="C36" s="142">
        <v>2256.3000000000002</v>
      </c>
      <c r="D36" s="87"/>
      <c r="E36" s="87"/>
      <c r="F36" s="87">
        <v>15246575</v>
      </c>
      <c r="G36" s="108">
        <v>2.9610653206688916E-4</v>
      </c>
      <c r="H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row>
    <row r="37" spans="1:72" ht="42.75" x14ac:dyDescent="0.2">
      <c r="A37" s="140">
        <v>4</v>
      </c>
      <c r="B37" s="141" t="s">
        <v>256</v>
      </c>
      <c r="C37" s="130">
        <v>2256.4</v>
      </c>
      <c r="D37" s="87"/>
      <c r="E37" s="87"/>
      <c r="F37" s="87">
        <v>0</v>
      </c>
      <c r="G37" s="87">
        <v>0</v>
      </c>
      <c r="H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row>
    <row r="38" spans="1:72" ht="42.75" x14ac:dyDescent="0.2">
      <c r="A38" s="128">
        <v>5</v>
      </c>
      <c r="B38" s="129" t="s">
        <v>385</v>
      </c>
      <c r="C38" s="130">
        <v>2256.5</v>
      </c>
      <c r="D38" s="87"/>
      <c r="E38" s="87"/>
      <c r="F38" s="87">
        <v>0</v>
      </c>
      <c r="G38" s="87">
        <v>0</v>
      </c>
      <c r="H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row>
    <row r="39" spans="1:72" ht="28.5" x14ac:dyDescent="0.2">
      <c r="A39" s="128">
        <v>6</v>
      </c>
      <c r="B39" s="129" t="s">
        <v>386</v>
      </c>
      <c r="C39" s="130">
        <v>2256.6</v>
      </c>
      <c r="D39" s="87"/>
      <c r="E39" s="87"/>
      <c r="F39" s="87">
        <v>0</v>
      </c>
      <c r="G39" s="87">
        <v>0</v>
      </c>
      <c r="H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row>
    <row r="40" spans="1:72" ht="28.5" x14ac:dyDescent="0.2">
      <c r="A40" s="140">
        <v>7</v>
      </c>
      <c r="B40" s="129" t="s">
        <v>387</v>
      </c>
      <c r="C40" s="130">
        <v>2256.6999999999998</v>
      </c>
      <c r="D40" s="87"/>
      <c r="E40" s="87"/>
      <c r="F40" s="87"/>
      <c r="G40" s="87">
        <v>0</v>
      </c>
      <c r="H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row>
    <row r="41" spans="1:72" ht="28.5" x14ac:dyDescent="0.2">
      <c r="A41" s="128"/>
      <c r="B41" s="129" t="s">
        <v>373</v>
      </c>
      <c r="C41" s="130">
        <v>2257</v>
      </c>
      <c r="D41" s="79"/>
      <c r="E41" s="79"/>
      <c r="F41" s="79">
        <v>100246575</v>
      </c>
      <c r="G41" s="108">
        <v>1.946907136509892E-3</v>
      </c>
      <c r="H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row>
    <row r="42" spans="1:72" ht="28.5" x14ac:dyDescent="0.2">
      <c r="A42" s="124" t="s">
        <v>125</v>
      </c>
      <c r="B42" s="125" t="s">
        <v>388</v>
      </c>
      <c r="C42" s="143">
        <v>2258</v>
      </c>
      <c r="D42" s="77"/>
      <c r="E42" s="77"/>
      <c r="F42" s="85"/>
      <c r="G42" s="86"/>
      <c r="H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row>
    <row r="43" spans="1:72" ht="28.5" x14ac:dyDescent="0.2">
      <c r="A43" s="128">
        <v>1</v>
      </c>
      <c r="B43" s="129" t="s">
        <v>473</v>
      </c>
      <c r="C43" s="130">
        <v>2259</v>
      </c>
      <c r="D43" s="87"/>
      <c r="E43" s="87"/>
      <c r="F43" s="87">
        <v>5581921148</v>
      </c>
      <c r="G43" s="108">
        <v>0.1084075153537833</v>
      </c>
      <c r="H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row>
    <row r="44" spans="1:72" ht="57" x14ac:dyDescent="0.2">
      <c r="A44" s="128">
        <v>2</v>
      </c>
      <c r="B44" s="129" t="s">
        <v>419</v>
      </c>
      <c r="C44" s="130">
        <v>2260</v>
      </c>
      <c r="D44" s="87"/>
      <c r="E44" s="87"/>
      <c r="F44" s="87">
        <v>0</v>
      </c>
      <c r="G44" s="87">
        <v>0</v>
      </c>
      <c r="H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row>
    <row r="45" spans="1:72" ht="28.5" x14ac:dyDescent="0.2">
      <c r="A45" s="128">
        <v>3</v>
      </c>
      <c r="B45" s="129" t="s">
        <v>389</v>
      </c>
      <c r="C45" s="130">
        <v>2261</v>
      </c>
      <c r="D45" s="87"/>
      <c r="E45" s="87"/>
      <c r="F45" s="87">
        <v>0</v>
      </c>
      <c r="G45" s="87">
        <v>0</v>
      </c>
      <c r="H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row>
    <row r="46" spans="1:72" ht="28.5" x14ac:dyDescent="0.2">
      <c r="A46" s="128">
        <v>4</v>
      </c>
      <c r="B46" s="129" t="s">
        <v>390</v>
      </c>
      <c r="C46" s="130">
        <v>2262</v>
      </c>
      <c r="D46" s="87"/>
      <c r="E46" s="87"/>
      <c r="F46" s="87">
        <v>0</v>
      </c>
      <c r="G46" s="87">
        <v>0</v>
      </c>
      <c r="H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row>
    <row r="47" spans="1:72" ht="28.5" x14ac:dyDescent="0.2">
      <c r="A47" s="128"/>
      <c r="B47" s="129" t="s">
        <v>373</v>
      </c>
      <c r="C47" s="138">
        <v>2263</v>
      </c>
      <c r="D47" s="79"/>
      <c r="E47" s="79"/>
      <c r="F47" s="79">
        <v>5581921148</v>
      </c>
      <c r="G47" s="80">
        <v>0.1084075153537833</v>
      </c>
      <c r="H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row>
    <row r="48" spans="1:72" ht="28.5" x14ac:dyDescent="0.2">
      <c r="A48" s="124" t="s">
        <v>127</v>
      </c>
      <c r="B48" s="125" t="s">
        <v>391</v>
      </c>
      <c r="C48" s="144">
        <v>2264</v>
      </c>
      <c r="D48" s="85"/>
      <c r="E48" s="85"/>
      <c r="F48" s="85">
        <v>51490167723</v>
      </c>
      <c r="G48" s="20">
        <v>1</v>
      </c>
      <c r="H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row>
    <row r="49" spans="8:72" x14ac:dyDescent="0.2">
      <c r="H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row>
    <row r="50" spans="8:72" x14ac:dyDescent="0.2">
      <c r="H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row>
    <row r="51" spans="8:72" x14ac:dyDescent="0.2">
      <c r="H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row>
    <row r="52" spans="8:72" x14ac:dyDescent="0.2">
      <c r="H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row>
    <row r="53" spans="8:72" x14ac:dyDescent="0.2">
      <c r="H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row>
    <row r="54" spans="8:72" x14ac:dyDescent="0.2">
      <c r="H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row>
    <row r="55" spans="8:72" x14ac:dyDescent="0.2">
      <c r="H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row>
    <row r="56" spans="8:72" x14ac:dyDescent="0.2">
      <c r="H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row>
    <row r="57" spans="8:72" x14ac:dyDescent="0.2">
      <c r="H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row>
    <row r="58" spans="8:72" x14ac:dyDescent="0.2">
      <c r="H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row>
    <row r="59" spans="8:72" x14ac:dyDescent="0.2">
      <c r="H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row>
    <row r="60" spans="8:72" x14ac:dyDescent="0.2">
      <c r="H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row>
    <row r="61" spans="8:72" x14ac:dyDescent="0.2">
      <c r="H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row>
    <row r="62" spans="8:72" x14ac:dyDescent="0.2">
      <c r="H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row>
    <row r="63" spans="8:72" x14ac:dyDescent="0.2">
      <c r="H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row>
    <row r="64" spans="8:72" x14ac:dyDescent="0.2">
      <c r="H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row>
    <row r="65" spans="8:72" x14ac:dyDescent="0.2">
      <c r="H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row>
    <row r="66" spans="8:72" x14ac:dyDescent="0.2">
      <c r="H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row>
    <row r="67" spans="8:72" x14ac:dyDescent="0.2">
      <c r="H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row>
    <row r="68" spans="8:72" x14ac:dyDescent="0.2">
      <c r="H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row>
    <row r="69" spans="8:72" x14ac:dyDescent="0.2">
      <c r="H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row>
    <row r="70" spans="8:72" x14ac:dyDescent="0.2">
      <c r="H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row>
    <row r="71" spans="8:72" x14ac:dyDescent="0.2">
      <c r="H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row>
    <row r="72" spans="8:72" x14ac:dyDescent="0.2">
      <c r="H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row>
    <row r="73" spans="8:72" x14ac:dyDescent="0.2">
      <c r="H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row>
    <row r="74" spans="8:72" x14ac:dyDescent="0.2">
      <c r="H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row>
    <row r="75" spans="8:72" x14ac:dyDescent="0.2">
      <c r="H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row>
    <row r="76" spans="8:72" x14ac:dyDescent="0.2">
      <c r="H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row>
    <row r="77" spans="8:72" x14ac:dyDescent="0.2">
      <c r="H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row>
    <row r="78" spans="8:72" x14ac:dyDescent="0.2">
      <c r="H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row>
    <row r="79" spans="8:72" x14ac:dyDescent="0.2">
      <c r="H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row>
    <row r="80" spans="8:72" x14ac:dyDescent="0.2">
      <c r="H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row>
    <row r="81" spans="8:72" x14ac:dyDescent="0.2">
      <c r="H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row>
    <row r="82" spans="8:72" x14ac:dyDescent="0.2">
      <c r="H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row>
    <row r="83" spans="8:72" x14ac:dyDescent="0.2">
      <c r="H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row>
    <row r="84" spans="8:72" x14ac:dyDescent="0.2">
      <c r="H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row>
    <row r="85" spans="8:72" x14ac:dyDescent="0.2">
      <c r="H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row>
    <row r="86" spans="8:72" x14ac:dyDescent="0.2">
      <c r="H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row>
    <row r="87" spans="8:72" x14ac:dyDescent="0.2">
      <c r="H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row>
    <row r="88" spans="8:72" x14ac:dyDescent="0.2">
      <c r="H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row>
    <row r="89" spans="8:72" x14ac:dyDescent="0.2">
      <c r="H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row>
    <row r="90" spans="8:72" x14ac:dyDescent="0.2">
      <c r="H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row>
    <row r="91" spans="8:72" x14ac:dyDescent="0.2">
      <c r="H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row>
    <row r="92" spans="8:72" x14ac:dyDescent="0.2">
      <c r="H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row>
    <row r="93" spans="8:72" x14ac:dyDescent="0.2">
      <c r="H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row>
    <row r="94" spans="8:72" x14ac:dyDescent="0.2">
      <c r="H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row>
    <row r="95" spans="8:72" x14ac:dyDescent="0.2">
      <c r="H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row>
    <row r="96" spans="8:72" x14ac:dyDescent="0.2">
      <c r="H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row>
    <row r="97" spans="8:72" x14ac:dyDescent="0.2">
      <c r="H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row>
    <row r="98" spans="8:72" x14ac:dyDescent="0.2">
      <c r="H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row>
    <row r="99" spans="8:72" x14ac:dyDescent="0.2">
      <c r="H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row>
    <row r="100" spans="8:72" x14ac:dyDescent="0.2">
      <c r="H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row>
    <row r="101" spans="8:72" x14ac:dyDescent="0.2">
      <c r="H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row>
    <row r="102" spans="8:72" x14ac:dyDescent="0.2">
      <c r="H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row>
    <row r="103" spans="8:72" x14ac:dyDescent="0.2">
      <c r="H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row>
    <row r="104" spans="8:72" x14ac:dyDescent="0.2">
      <c r="H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8:72" x14ac:dyDescent="0.2">
      <c r="H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B1" sqref="B1:B2"/>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171" t="s">
        <v>6</v>
      </c>
      <c r="B1" s="171" t="s">
        <v>137</v>
      </c>
      <c r="C1" s="171" t="s">
        <v>138</v>
      </c>
      <c r="D1" s="171" t="s">
        <v>139</v>
      </c>
      <c r="E1" s="171" t="s">
        <v>140</v>
      </c>
      <c r="F1" s="171" t="s">
        <v>141</v>
      </c>
      <c r="G1" s="171" t="s">
        <v>142</v>
      </c>
      <c r="H1" s="171"/>
      <c r="I1" s="171" t="s">
        <v>143</v>
      </c>
      <c r="J1" s="171"/>
    </row>
    <row r="2" spans="1:10" ht="15" customHeight="1" x14ac:dyDescent="0.2">
      <c r="A2" s="171"/>
      <c r="B2" s="171"/>
      <c r="C2" s="171"/>
      <c r="D2" s="171"/>
      <c r="E2" s="171"/>
      <c r="F2" s="171"/>
      <c r="G2" s="7" t="s">
        <v>144</v>
      </c>
      <c r="H2" s="7" t="s">
        <v>145</v>
      </c>
      <c r="I2" s="7" t="s">
        <v>144</v>
      </c>
      <c r="J2" s="7" t="s">
        <v>146</v>
      </c>
    </row>
    <row r="3" spans="1:10" ht="15" customHeight="1" x14ac:dyDescent="0.25">
      <c r="A3" s="5" t="s">
        <v>9</v>
      </c>
      <c r="B3" s="5" t="s">
        <v>147</v>
      </c>
      <c r="C3" s="5" t="s">
        <v>1</v>
      </c>
      <c r="D3" s="5" t="s">
        <v>1</v>
      </c>
      <c r="E3" s="5" t="s">
        <v>1</v>
      </c>
      <c r="F3" s="5" t="s">
        <v>1</v>
      </c>
      <c r="G3" s="5" t="s">
        <v>1</v>
      </c>
      <c r="H3" s="5" t="s">
        <v>1</v>
      </c>
      <c r="I3" s="5" t="s">
        <v>1</v>
      </c>
      <c r="J3" s="5" t="s">
        <v>1</v>
      </c>
    </row>
    <row r="4" spans="1:10" ht="15" customHeight="1" x14ac:dyDescent="0.25">
      <c r="A4" s="5" t="s">
        <v>63</v>
      </c>
      <c r="B4" s="5" t="s">
        <v>63</v>
      </c>
      <c r="C4" s="5" t="s">
        <v>63</v>
      </c>
      <c r="D4" s="5" t="s">
        <v>63</v>
      </c>
      <c r="E4" s="5" t="s">
        <v>63</v>
      </c>
      <c r="F4" s="5" t="s">
        <v>63</v>
      </c>
      <c r="G4" s="5" t="s">
        <v>63</v>
      </c>
      <c r="H4" s="5" t="s">
        <v>63</v>
      </c>
      <c r="I4" s="5" t="s">
        <v>63</v>
      </c>
      <c r="J4" s="5" t="s">
        <v>63</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56</v>
      </c>
      <c r="B6" s="8" t="s">
        <v>148</v>
      </c>
      <c r="C6" s="8" t="s">
        <v>1</v>
      </c>
      <c r="D6" s="8" t="s">
        <v>1</v>
      </c>
      <c r="E6" s="8" t="s">
        <v>1</v>
      </c>
      <c r="F6" s="8" t="s">
        <v>1</v>
      </c>
      <c r="G6" s="8" t="s">
        <v>1</v>
      </c>
      <c r="H6" s="8" t="s">
        <v>1</v>
      </c>
      <c r="I6" s="8" t="s">
        <v>1</v>
      </c>
      <c r="J6" s="8" t="s">
        <v>1</v>
      </c>
    </row>
    <row r="7" spans="1:10" ht="15" customHeight="1" x14ac:dyDescent="0.25">
      <c r="A7" s="5" t="s">
        <v>12</v>
      </c>
      <c r="B7" s="5" t="s">
        <v>149</v>
      </c>
      <c r="C7" s="5" t="s">
        <v>1</v>
      </c>
      <c r="D7" s="5" t="s">
        <v>1</v>
      </c>
      <c r="E7" s="5" t="s">
        <v>1</v>
      </c>
      <c r="F7" s="5" t="s">
        <v>1</v>
      </c>
      <c r="G7" s="5" t="s">
        <v>1</v>
      </c>
      <c r="H7" s="5" t="s">
        <v>1</v>
      </c>
      <c r="I7" s="5" t="s">
        <v>1</v>
      </c>
      <c r="J7" s="5" t="s">
        <v>1</v>
      </c>
    </row>
    <row r="8" spans="1:10" ht="15" customHeight="1" x14ac:dyDescent="0.25">
      <c r="A8" s="5" t="s">
        <v>63</v>
      </c>
      <c r="B8" s="5" t="s">
        <v>63</v>
      </c>
      <c r="C8" s="5" t="s">
        <v>63</v>
      </c>
      <c r="D8" s="5" t="s">
        <v>63</v>
      </c>
      <c r="E8" s="5" t="s">
        <v>63</v>
      </c>
      <c r="F8" s="5" t="s">
        <v>63</v>
      </c>
      <c r="G8" s="5" t="s">
        <v>63</v>
      </c>
      <c r="H8" s="5" t="s">
        <v>63</v>
      </c>
      <c r="I8" s="5" t="s">
        <v>63</v>
      </c>
      <c r="J8" s="5" t="s">
        <v>63</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89</v>
      </c>
      <c r="B10" s="8" t="s">
        <v>150</v>
      </c>
      <c r="C10" s="8" t="s">
        <v>1</v>
      </c>
      <c r="D10" s="8" t="s">
        <v>1</v>
      </c>
      <c r="E10" s="8" t="s">
        <v>1</v>
      </c>
      <c r="F10" s="8" t="s">
        <v>1</v>
      </c>
      <c r="G10" s="8" t="s">
        <v>1</v>
      </c>
      <c r="H10" s="8" t="s">
        <v>1</v>
      </c>
      <c r="I10" s="8" t="s">
        <v>1</v>
      </c>
      <c r="J10" s="8" t="s">
        <v>1</v>
      </c>
    </row>
    <row r="11" spans="1:10" ht="15" customHeight="1" x14ac:dyDescent="0.25">
      <c r="A11" s="8" t="s">
        <v>151</v>
      </c>
      <c r="B11" s="8" t="s">
        <v>152</v>
      </c>
      <c r="C11" s="8" t="s">
        <v>1</v>
      </c>
      <c r="D11" s="8" t="s">
        <v>1</v>
      </c>
      <c r="E11" s="8" t="s">
        <v>1</v>
      </c>
      <c r="F11" s="8" t="s">
        <v>1</v>
      </c>
      <c r="G11" s="8" t="s">
        <v>1</v>
      </c>
      <c r="H11" s="8" t="s">
        <v>1</v>
      </c>
      <c r="I11" s="8" t="s">
        <v>1</v>
      </c>
      <c r="J11" s="8" t="s">
        <v>1</v>
      </c>
    </row>
    <row r="12" spans="1:10" ht="15" customHeight="1" x14ac:dyDescent="0.25">
      <c r="A12" s="5" t="s">
        <v>15</v>
      </c>
      <c r="B12" s="5" t="s">
        <v>153</v>
      </c>
      <c r="C12" s="5" t="s">
        <v>1</v>
      </c>
      <c r="D12" s="5" t="s">
        <v>1</v>
      </c>
      <c r="E12" s="5" t="s">
        <v>1</v>
      </c>
      <c r="F12" s="5" t="s">
        <v>1</v>
      </c>
      <c r="G12" s="5" t="s">
        <v>1</v>
      </c>
      <c r="H12" s="5" t="s">
        <v>1</v>
      </c>
      <c r="I12" s="5" t="s">
        <v>1</v>
      </c>
      <c r="J12" s="5" t="s">
        <v>1</v>
      </c>
    </row>
    <row r="13" spans="1:10" ht="15" customHeight="1" x14ac:dyDescent="0.25">
      <c r="A13" s="5" t="s">
        <v>63</v>
      </c>
      <c r="B13" s="5" t="s">
        <v>63</v>
      </c>
      <c r="C13" s="5" t="s">
        <v>63</v>
      </c>
      <c r="D13" s="5" t="s">
        <v>63</v>
      </c>
      <c r="E13" s="5" t="s">
        <v>63</v>
      </c>
      <c r="F13" s="5" t="s">
        <v>63</v>
      </c>
      <c r="G13" s="5" t="s">
        <v>63</v>
      </c>
      <c r="H13" s="5" t="s">
        <v>63</v>
      </c>
      <c r="I13" s="5" t="s">
        <v>63</v>
      </c>
      <c r="J13" s="5" t="s">
        <v>63</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116</v>
      </c>
      <c r="B15" s="8" t="s">
        <v>154</v>
      </c>
      <c r="C15" s="8" t="s">
        <v>1</v>
      </c>
      <c r="D15" s="8" t="s">
        <v>1</v>
      </c>
      <c r="E15" s="8" t="s">
        <v>1</v>
      </c>
      <c r="F15" s="8" t="s">
        <v>1</v>
      </c>
      <c r="G15" s="8" t="s">
        <v>1</v>
      </c>
      <c r="H15" s="8" t="s">
        <v>1</v>
      </c>
      <c r="I15" s="8" t="s">
        <v>1</v>
      </c>
      <c r="J15" s="8" t="s">
        <v>1</v>
      </c>
    </row>
    <row r="16" spans="1:10" ht="15" customHeight="1" x14ac:dyDescent="0.25">
      <c r="A16" s="5" t="s">
        <v>18</v>
      </c>
      <c r="B16" s="5" t="s">
        <v>155</v>
      </c>
      <c r="C16" s="5" t="s">
        <v>1</v>
      </c>
      <c r="D16" s="5" t="s">
        <v>1</v>
      </c>
      <c r="E16" s="5" t="s">
        <v>1</v>
      </c>
      <c r="F16" s="5" t="s">
        <v>1</v>
      </c>
      <c r="G16" s="5" t="s">
        <v>1</v>
      </c>
      <c r="H16" s="5" t="s">
        <v>1</v>
      </c>
      <c r="I16" s="5" t="s">
        <v>1</v>
      </c>
      <c r="J16" s="5" t="s">
        <v>1</v>
      </c>
    </row>
    <row r="17" spans="1:10" ht="15" customHeight="1" x14ac:dyDescent="0.25">
      <c r="A17" s="5" t="s">
        <v>63</v>
      </c>
      <c r="B17" s="5" t="s">
        <v>63</v>
      </c>
      <c r="C17" s="5" t="s">
        <v>63</v>
      </c>
      <c r="D17" s="5" t="s">
        <v>63</v>
      </c>
      <c r="E17" s="5" t="s">
        <v>63</v>
      </c>
      <c r="F17" s="5" t="s">
        <v>63</v>
      </c>
      <c r="G17" s="5" t="s">
        <v>63</v>
      </c>
      <c r="H17" s="5" t="s">
        <v>63</v>
      </c>
      <c r="I17" s="5" t="s">
        <v>63</v>
      </c>
      <c r="J17" s="5" t="s">
        <v>63</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118</v>
      </c>
      <c r="B19" s="8" t="s">
        <v>156</v>
      </c>
      <c r="C19" s="8" t="s">
        <v>1</v>
      </c>
      <c r="D19" s="8" t="s">
        <v>1</v>
      </c>
      <c r="E19" s="8" t="s">
        <v>1</v>
      </c>
      <c r="F19" s="8" t="s">
        <v>1</v>
      </c>
      <c r="G19" s="8" t="s">
        <v>1</v>
      </c>
      <c r="H19" s="8" t="s">
        <v>1</v>
      </c>
      <c r="I19" s="8" t="s">
        <v>1</v>
      </c>
      <c r="J19" s="8" t="s">
        <v>1</v>
      </c>
    </row>
    <row r="20" spans="1:10" ht="15" customHeight="1" x14ac:dyDescent="0.25">
      <c r="A20" s="8" t="s">
        <v>157</v>
      </c>
      <c r="B20" s="8" t="s">
        <v>158</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Z28"/>
  <sheetViews>
    <sheetView topLeftCell="B16" workbookViewId="0">
      <selection activeCell="D4" sqref="D4"/>
    </sheetView>
  </sheetViews>
  <sheetFormatPr defaultColWidth="9.140625" defaultRowHeight="14.25" x14ac:dyDescent="0.2"/>
  <cols>
    <col min="1" max="1" width="8" style="73" customWidth="1"/>
    <col min="2" max="2" width="54" style="73" customWidth="1"/>
    <col min="3" max="3" width="14.140625" style="73" customWidth="1"/>
    <col min="4" max="4" width="27.5703125" style="105" customWidth="1"/>
    <col min="5" max="5" width="27.5703125" style="73" customWidth="1"/>
    <col min="6" max="6" width="12" style="71" customWidth="1"/>
    <col min="7" max="7" width="9.140625" style="71" customWidth="1"/>
    <col min="8" max="8" width="16.85546875" style="71" bestFit="1" customWidth="1"/>
    <col min="9" max="9" width="16.5703125" style="71" customWidth="1"/>
    <col min="10" max="52" width="9.140625" style="71"/>
    <col min="53" max="16384" width="9.140625" style="70"/>
  </cols>
  <sheetData>
    <row r="1" spans="1:52" s="71" customFormat="1" ht="25.5" x14ac:dyDescent="0.2">
      <c r="A1" s="88" t="s">
        <v>438</v>
      </c>
      <c r="B1" s="88" t="s">
        <v>453</v>
      </c>
      <c r="C1" s="88" t="s">
        <v>229</v>
      </c>
      <c r="D1" s="145" t="s">
        <v>515</v>
      </c>
      <c r="E1" s="158" t="s">
        <v>510</v>
      </c>
    </row>
    <row r="2" spans="1:52" s="71" customFormat="1" ht="25.5" x14ac:dyDescent="0.2">
      <c r="A2" s="13" t="s">
        <v>56</v>
      </c>
      <c r="B2" s="98" t="s">
        <v>392</v>
      </c>
      <c r="C2" s="89" t="s">
        <v>136</v>
      </c>
      <c r="D2" s="90"/>
      <c r="E2" s="91"/>
    </row>
    <row r="3" spans="1:52" s="71" customFormat="1" ht="51" x14ac:dyDescent="0.2">
      <c r="A3" s="156">
        <v>1</v>
      </c>
      <c r="B3" s="92" t="s">
        <v>454</v>
      </c>
      <c r="C3" s="93" t="s">
        <v>161</v>
      </c>
      <c r="D3" s="94">
        <v>1.019462173737809E-2</v>
      </c>
      <c r="E3" s="94">
        <v>1.0165573266913237E-2</v>
      </c>
    </row>
    <row r="4" spans="1:52" s="71" customFormat="1" ht="51" x14ac:dyDescent="0.2">
      <c r="A4" s="156">
        <v>2</v>
      </c>
      <c r="B4" s="92" t="s">
        <v>393</v>
      </c>
      <c r="C4" s="93" t="s">
        <v>162</v>
      </c>
      <c r="D4" s="94">
        <v>4.8684804148486811E-3</v>
      </c>
      <c r="E4" s="94">
        <v>1.7651448800502119E-3</v>
      </c>
    </row>
    <row r="5" spans="1:52" s="71" customFormat="1" ht="63.75" x14ac:dyDescent="0.2">
      <c r="A5" s="156">
        <v>3</v>
      </c>
      <c r="B5" s="92" t="s">
        <v>394</v>
      </c>
      <c r="C5" s="93" t="s">
        <v>163</v>
      </c>
      <c r="D5" s="94">
        <v>6.7391697905956382E-3</v>
      </c>
      <c r="E5" s="94">
        <v>6.4917354204387968E-3</v>
      </c>
    </row>
    <row r="6" spans="1:52" s="71" customFormat="1" ht="38.25" x14ac:dyDescent="0.2">
      <c r="A6" s="156">
        <v>4</v>
      </c>
      <c r="B6" s="92" t="s">
        <v>395</v>
      </c>
      <c r="C6" s="93" t="s">
        <v>164</v>
      </c>
      <c r="D6" s="94">
        <v>1.3070228879738632E-3</v>
      </c>
      <c r="E6" s="94">
        <v>7.648444640807891E-3</v>
      </c>
    </row>
    <row r="7" spans="1:52" s="71" customFormat="1" ht="76.5" x14ac:dyDescent="0.2">
      <c r="A7" s="156">
        <v>5</v>
      </c>
      <c r="B7" s="92" t="s">
        <v>396</v>
      </c>
      <c r="C7" s="93" t="s">
        <v>165</v>
      </c>
      <c r="D7" s="94">
        <v>1.1874342475240685E-3</v>
      </c>
      <c r="E7" s="94">
        <v>1.1803155309888722E-3</v>
      </c>
    </row>
    <row r="8" spans="1:52" s="71" customFormat="1" ht="25.5" x14ac:dyDescent="0.2">
      <c r="A8" s="156">
        <v>6</v>
      </c>
      <c r="B8" s="92" t="s">
        <v>455</v>
      </c>
      <c r="C8" s="93" t="s">
        <v>166</v>
      </c>
      <c r="D8" s="95">
        <v>2.4498430221907522E-2</v>
      </c>
      <c r="E8" s="95">
        <v>2.9571072453600487E-2</v>
      </c>
    </row>
    <row r="9" spans="1:52" s="72" customFormat="1" ht="76.5" x14ac:dyDescent="0.2">
      <c r="A9" s="16">
        <v>7</v>
      </c>
      <c r="B9" s="96" t="s">
        <v>397</v>
      </c>
      <c r="C9" s="97" t="s">
        <v>167</v>
      </c>
      <c r="D9" s="104">
        <v>0</v>
      </c>
      <c r="E9" s="95">
        <v>0.77799612988483258</v>
      </c>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row>
    <row r="10" spans="1:52" s="71" customFormat="1" ht="25.5" x14ac:dyDescent="0.2">
      <c r="A10" s="13" t="s">
        <v>89</v>
      </c>
      <c r="B10" s="98" t="s">
        <v>398</v>
      </c>
      <c r="C10" s="89" t="s">
        <v>168</v>
      </c>
      <c r="D10" s="15"/>
      <c r="E10" s="15"/>
    </row>
    <row r="11" spans="1:52" s="71" customFormat="1" ht="38.25" x14ac:dyDescent="0.2">
      <c r="A11" s="172">
        <v>1</v>
      </c>
      <c r="B11" s="92" t="s">
        <v>399</v>
      </c>
      <c r="C11" s="93" t="s">
        <v>169</v>
      </c>
      <c r="D11" s="19">
        <v>50580986900.000008</v>
      </c>
      <c r="E11" s="99">
        <v>50479714500</v>
      </c>
    </row>
    <row r="12" spans="1:52" s="71" customFormat="1" ht="38.25" x14ac:dyDescent="0.2">
      <c r="A12" s="172"/>
      <c r="B12" s="92" t="s">
        <v>400</v>
      </c>
      <c r="C12" s="93" t="s">
        <v>170</v>
      </c>
      <c r="D12" s="19">
        <v>50580986900.000008</v>
      </c>
      <c r="E12" s="99">
        <v>50479714500</v>
      </c>
    </row>
    <row r="13" spans="1:52" s="71" customFormat="1" ht="38.25" x14ac:dyDescent="0.2">
      <c r="A13" s="172"/>
      <c r="B13" s="92" t="s">
        <v>401</v>
      </c>
      <c r="C13" s="93" t="s">
        <v>171</v>
      </c>
      <c r="D13" s="111">
        <v>5058098.6900000004</v>
      </c>
      <c r="E13" s="100">
        <v>5047971.45</v>
      </c>
    </row>
    <row r="14" spans="1:52" s="71" customFormat="1" ht="51" x14ac:dyDescent="0.2">
      <c r="A14" s="172">
        <v>2</v>
      </c>
      <c r="B14" s="92" t="s">
        <v>402</v>
      </c>
      <c r="C14" s="93" t="s">
        <v>172</v>
      </c>
      <c r="D14" s="10">
        <v>182286900</v>
      </c>
      <c r="E14" s="10">
        <v>101272400</v>
      </c>
    </row>
    <row r="15" spans="1:52" s="71" customFormat="1" ht="12.75" customHeight="1" x14ac:dyDescent="0.2">
      <c r="A15" s="172"/>
      <c r="B15" s="92" t="s">
        <v>403</v>
      </c>
      <c r="C15" s="93" t="s">
        <v>404</v>
      </c>
      <c r="D15" s="101">
        <v>18228.689999999999</v>
      </c>
      <c r="E15" s="100">
        <v>10127.24</v>
      </c>
    </row>
    <row r="16" spans="1:52" s="71" customFormat="1" ht="38.25" x14ac:dyDescent="0.2">
      <c r="A16" s="172"/>
      <c r="B16" s="92" t="s">
        <v>405</v>
      </c>
      <c r="C16" s="93" t="s">
        <v>406</v>
      </c>
      <c r="D16" s="10">
        <v>182286900</v>
      </c>
      <c r="E16" s="10">
        <v>101272400</v>
      </c>
    </row>
    <row r="17" spans="1:5" s="71" customFormat="1" ht="25.5" x14ac:dyDescent="0.2">
      <c r="A17" s="172"/>
      <c r="B17" s="92" t="s">
        <v>407</v>
      </c>
      <c r="C17" s="93" t="s">
        <v>173</v>
      </c>
      <c r="D17" s="102">
        <v>19304.53</v>
      </c>
      <c r="E17" s="102">
        <v>14402.5</v>
      </c>
    </row>
    <row r="18" spans="1:5" s="71" customFormat="1" ht="25.5" x14ac:dyDescent="0.2">
      <c r="A18" s="172"/>
      <c r="B18" s="92" t="s">
        <v>408</v>
      </c>
      <c r="C18" s="93" t="s">
        <v>174</v>
      </c>
      <c r="D18" s="19">
        <v>193045300</v>
      </c>
      <c r="E18" s="19">
        <v>144025000</v>
      </c>
    </row>
    <row r="19" spans="1:5" s="71" customFormat="1" ht="25.5" x14ac:dyDescent="0.2">
      <c r="A19" s="172"/>
      <c r="B19" s="92" t="s">
        <v>409</v>
      </c>
      <c r="C19" s="93" t="s">
        <v>175</v>
      </c>
      <c r="D19" s="102">
        <v>-1075.8399999999999</v>
      </c>
      <c r="E19" s="102">
        <v>-4275.26</v>
      </c>
    </row>
    <row r="20" spans="1:5" s="71" customFormat="1" ht="38.25" x14ac:dyDescent="0.2">
      <c r="A20" s="172"/>
      <c r="B20" s="92" t="s">
        <v>410</v>
      </c>
      <c r="C20" s="93" t="s">
        <v>176</v>
      </c>
      <c r="D20" s="10">
        <v>-10758400</v>
      </c>
      <c r="E20" s="10">
        <v>-42752600</v>
      </c>
    </row>
    <row r="21" spans="1:5" s="71" customFormat="1" ht="38.25" x14ac:dyDescent="0.2">
      <c r="A21" s="172">
        <v>3</v>
      </c>
      <c r="B21" s="92" t="s">
        <v>411</v>
      </c>
      <c r="C21" s="93" t="s">
        <v>177</v>
      </c>
      <c r="D21" s="10">
        <v>50763273800.000008</v>
      </c>
      <c r="E21" s="10">
        <v>50580986900.000008</v>
      </c>
    </row>
    <row r="22" spans="1:5" s="71" customFormat="1" ht="38.25" x14ac:dyDescent="0.2">
      <c r="A22" s="172"/>
      <c r="B22" s="92" t="s">
        <v>412</v>
      </c>
      <c r="C22" s="93" t="s">
        <v>178</v>
      </c>
      <c r="D22" s="10">
        <v>50763273800.000008</v>
      </c>
      <c r="E22" s="10">
        <v>50580986900.000008</v>
      </c>
    </row>
    <row r="23" spans="1:5" s="71" customFormat="1" ht="38.25" x14ac:dyDescent="0.2">
      <c r="A23" s="172"/>
      <c r="B23" s="92" t="s">
        <v>413</v>
      </c>
      <c r="C23" s="93" t="s">
        <v>179</v>
      </c>
      <c r="D23" s="101">
        <v>5076327.3800000008</v>
      </c>
      <c r="E23" s="100">
        <v>5058098.6900000004</v>
      </c>
    </row>
    <row r="24" spans="1:5" s="71" customFormat="1" ht="51" x14ac:dyDescent="0.2">
      <c r="A24" s="156">
        <v>4</v>
      </c>
      <c r="B24" s="92" t="s">
        <v>414</v>
      </c>
      <c r="C24" s="93" t="s">
        <v>180</v>
      </c>
      <c r="D24" s="103">
        <v>0.92589999999999995</v>
      </c>
      <c r="E24" s="103">
        <v>0.92920000000000003</v>
      </c>
    </row>
    <row r="25" spans="1:5" s="71" customFormat="1" ht="38.25" x14ac:dyDescent="0.2">
      <c r="A25" s="156">
        <v>5</v>
      </c>
      <c r="B25" s="92" t="s">
        <v>415</v>
      </c>
      <c r="C25" s="93" t="s">
        <v>181</v>
      </c>
      <c r="D25" s="104">
        <v>0.99119999999999997</v>
      </c>
      <c r="E25" s="104">
        <v>0.9929</v>
      </c>
    </row>
    <row r="26" spans="1:5" s="71" customFormat="1" ht="38.25" x14ac:dyDescent="0.2">
      <c r="A26" s="156">
        <v>6</v>
      </c>
      <c r="B26" s="92" t="s">
        <v>416</v>
      </c>
      <c r="C26" s="93" t="s">
        <v>182</v>
      </c>
      <c r="D26" s="104">
        <v>0</v>
      </c>
      <c r="E26" s="104">
        <v>0</v>
      </c>
    </row>
    <row r="27" spans="1:5" s="71" customFormat="1" ht="25.5" x14ac:dyDescent="0.2">
      <c r="A27" s="156">
        <v>7</v>
      </c>
      <c r="B27" s="92" t="s">
        <v>417</v>
      </c>
      <c r="C27" s="93" t="s">
        <v>184</v>
      </c>
      <c r="D27" s="159">
        <v>10113.76</v>
      </c>
      <c r="E27" s="100">
        <v>10105.08</v>
      </c>
    </row>
    <row r="28" spans="1:5" s="71" customFormat="1" ht="25.5" x14ac:dyDescent="0.2">
      <c r="A28" s="156">
        <v>8</v>
      </c>
      <c r="B28" s="92" t="s">
        <v>418</v>
      </c>
      <c r="C28" s="93" t="s">
        <v>183</v>
      </c>
      <c r="D28" s="19">
        <v>265</v>
      </c>
      <c r="E28" s="19">
        <v>259</v>
      </c>
    </row>
  </sheetData>
  <mergeCells count="3">
    <mergeCell ref="A11:A13"/>
    <mergeCell ref="A14:A20"/>
    <mergeCell ref="A21:A23"/>
  </mergeCell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171" t="s">
        <v>6</v>
      </c>
      <c r="B1" s="171" t="s">
        <v>185</v>
      </c>
      <c r="C1" s="171" t="s">
        <v>186</v>
      </c>
      <c r="D1" s="171" t="s">
        <v>187</v>
      </c>
      <c r="E1" s="171"/>
      <c r="F1" s="171"/>
    </row>
    <row r="2" spans="1:6" ht="15" customHeight="1" x14ac:dyDescent="0.2">
      <c r="A2" s="171"/>
      <c r="B2" s="171"/>
      <c r="C2" s="171"/>
      <c r="D2" s="7" t="s">
        <v>188</v>
      </c>
      <c r="E2" s="7" t="s">
        <v>189</v>
      </c>
      <c r="F2" s="7" t="s">
        <v>190</v>
      </c>
    </row>
    <row r="3" spans="1:6" ht="15" customHeight="1" x14ac:dyDescent="0.25">
      <c r="A3" s="8" t="s">
        <v>56</v>
      </c>
      <c r="B3" s="8" t="s">
        <v>191</v>
      </c>
      <c r="C3" s="8"/>
      <c r="D3" s="8"/>
      <c r="E3" s="8"/>
      <c r="F3" s="8"/>
    </row>
    <row r="4" spans="1:6" ht="15" customHeight="1" x14ac:dyDescent="0.25">
      <c r="A4" s="5" t="s">
        <v>63</v>
      </c>
      <c r="B4" s="5" t="s">
        <v>63</v>
      </c>
      <c r="C4" s="5" t="s">
        <v>63</v>
      </c>
      <c r="D4" s="5" t="s">
        <v>63</v>
      </c>
      <c r="E4" s="5" t="s">
        <v>63</v>
      </c>
      <c r="F4" s="5" t="s">
        <v>63</v>
      </c>
    </row>
    <row r="5" spans="1:6" ht="15" customHeight="1" x14ac:dyDescent="0.25">
      <c r="A5" s="5"/>
      <c r="B5" s="5"/>
      <c r="C5" s="5" t="s">
        <v>1</v>
      </c>
      <c r="D5" s="5" t="s">
        <v>1</v>
      </c>
      <c r="E5" s="5" t="s">
        <v>1</v>
      </c>
      <c r="F5" s="5" t="s">
        <v>1</v>
      </c>
    </row>
    <row r="6" spans="1:6" ht="15" customHeight="1" x14ac:dyDescent="0.25">
      <c r="A6" s="8" t="s">
        <v>89</v>
      </c>
      <c r="B6" s="8" t="s">
        <v>192</v>
      </c>
      <c r="C6" s="8"/>
      <c r="D6" s="8"/>
      <c r="E6" s="8"/>
      <c r="F6" s="8"/>
    </row>
    <row r="7" spans="1:6" ht="15" customHeight="1" x14ac:dyDescent="0.25">
      <c r="A7" s="5" t="s">
        <v>63</v>
      </c>
      <c r="B7" s="5" t="s">
        <v>63</v>
      </c>
      <c r="C7" s="5" t="s">
        <v>63</v>
      </c>
      <c r="D7" s="5" t="s">
        <v>63</v>
      </c>
      <c r="E7" s="5" t="s">
        <v>63</v>
      </c>
      <c r="F7" s="5" t="s">
        <v>63</v>
      </c>
    </row>
    <row r="8" spans="1:6" ht="15" customHeight="1" x14ac:dyDescent="0.25">
      <c r="A8" s="5"/>
      <c r="B8" s="5"/>
      <c r="C8" s="5" t="s">
        <v>1</v>
      </c>
      <c r="D8" s="5" t="s">
        <v>1</v>
      </c>
      <c r="E8" s="5" t="s">
        <v>1</v>
      </c>
      <c r="F8" s="5" t="s">
        <v>1</v>
      </c>
    </row>
    <row r="9" spans="1:6" ht="15" customHeight="1" x14ac:dyDescent="0.25">
      <c r="A9" s="8" t="s">
        <v>116</v>
      </c>
      <c r="B9" s="8" t="s">
        <v>193</v>
      </c>
      <c r="C9" s="8"/>
      <c r="D9" s="8"/>
      <c r="E9" s="8"/>
      <c r="F9" s="8"/>
    </row>
    <row r="10" spans="1:6" ht="15" customHeight="1" x14ac:dyDescent="0.25">
      <c r="A10" s="5" t="s">
        <v>63</v>
      </c>
      <c r="B10" s="5" t="s">
        <v>63</v>
      </c>
      <c r="C10" s="5" t="s">
        <v>63</v>
      </c>
      <c r="D10" s="5" t="s">
        <v>63</v>
      </c>
      <c r="E10" s="5" t="s">
        <v>63</v>
      </c>
      <c r="F10" s="5" t="s">
        <v>63</v>
      </c>
    </row>
    <row r="11" spans="1:6" ht="15" customHeight="1" x14ac:dyDescent="0.25">
      <c r="A11" s="5"/>
      <c r="B11" s="5"/>
      <c r="C11" s="5" t="s">
        <v>1</v>
      </c>
      <c r="D11" s="5" t="s">
        <v>1</v>
      </c>
      <c r="E11" s="5" t="s">
        <v>1</v>
      </c>
      <c r="F11" s="5" t="s">
        <v>1</v>
      </c>
    </row>
    <row r="12" spans="1:6" ht="15" customHeight="1" x14ac:dyDescent="0.25">
      <c r="A12" s="8" t="s">
        <v>118</v>
      </c>
      <c r="B12" s="8" t="s">
        <v>194</v>
      </c>
      <c r="C12" s="8"/>
      <c r="D12" s="8"/>
      <c r="E12" s="8"/>
      <c r="F12" s="8"/>
    </row>
    <row r="13" spans="1:6" ht="15" customHeight="1" x14ac:dyDescent="0.25">
      <c r="A13" s="5" t="s">
        <v>63</v>
      </c>
      <c r="B13" s="5" t="s">
        <v>63</v>
      </c>
      <c r="C13" s="5" t="s">
        <v>63</v>
      </c>
      <c r="D13" s="5" t="s">
        <v>63</v>
      </c>
      <c r="E13" s="5" t="s">
        <v>63</v>
      </c>
      <c r="F13" s="5" t="s">
        <v>63</v>
      </c>
    </row>
    <row r="14" spans="1:6" ht="15" customHeight="1" x14ac:dyDescent="0.25">
      <c r="A14" s="5" t="s">
        <v>1</v>
      </c>
      <c r="B14" s="5" t="s">
        <v>1</v>
      </c>
      <c r="C14" s="5" t="s">
        <v>1</v>
      </c>
      <c r="D14" s="5" t="s">
        <v>1</v>
      </c>
      <c r="E14" s="5" t="s">
        <v>1</v>
      </c>
      <c r="F14" s="5" t="s">
        <v>1</v>
      </c>
    </row>
    <row r="15" spans="1:6" ht="15" customHeight="1" x14ac:dyDescent="0.25">
      <c r="A15" s="8" t="s">
        <v>123</v>
      </c>
      <c r="B15" s="8" t="s">
        <v>195</v>
      </c>
      <c r="C15" s="8"/>
      <c r="D15" s="8"/>
      <c r="E15" s="8"/>
      <c r="F15" s="8"/>
    </row>
    <row r="16" spans="1:6" ht="15" customHeight="1" x14ac:dyDescent="0.25">
      <c r="A16" s="5" t="s">
        <v>63</v>
      </c>
      <c r="B16" s="5" t="s">
        <v>63</v>
      </c>
      <c r="C16" s="5" t="s">
        <v>63</v>
      </c>
      <c r="D16" s="5" t="s">
        <v>63</v>
      </c>
      <c r="E16" s="5" t="s">
        <v>63</v>
      </c>
      <c r="F16" s="5" t="s">
        <v>63</v>
      </c>
    </row>
    <row r="17" spans="1:6" ht="15" customHeight="1" x14ac:dyDescent="0.25">
      <c r="A17" s="5" t="s">
        <v>1</v>
      </c>
      <c r="B17" s="5" t="s">
        <v>1</v>
      </c>
      <c r="C17" s="5" t="s">
        <v>1</v>
      </c>
      <c r="D17" s="5" t="s">
        <v>1</v>
      </c>
      <c r="E17" s="5" t="s">
        <v>1</v>
      </c>
      <c r="F17" s="5" t="s">
        <v>1</v>
      </c>
    </row>
    <row r="18" spans="1:6" ht="15" customHeight="1" x14ac:dyDescent="0.25">
      <c r="A18" s="8" t="s">
        <v>118</v>
      </c>
      <c r="B18" s="8" t="s">
        <v>196</v>
      </c>
      <c r="C18" s="8"/>
      <c r="D18" s="8"/>
      <c r="E18" s="8"/>
      <c r="F18" s="8"/>
    </row>
    <row r="19" spans="1:6" ht="15" customHeight="1" x14ac:dyDescent="0.25">
      <c r="A19" s="5" t="s">
        <v>63</v>
      </c>
      <c r="B19" s="5" t="s">
        <v>63</v>
      </c>
      <c r="C19" s="5" t="s">
        <v>63</v>
      </c>
      <c r="D19" s="5" t="s">
        <v>63</v>
      </c>
      <c r="E19" s="5" t="s">
        <v>63</v>
      </c>
      <c r="F19" s="5" t="s">
        <v>63</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171" t="s">
        <v>6</v>
      </c>
      <c r="B1" s="171" t="s">
        <v>105</v>
      </c>
      <c r="C1" s="171" t="s">
        <v>197</v>
      </c>
      <c r="D1" s="171"/>
    </row>
    <row r="2" spans="1:4" ht="15" customHeight="1" x14ac:dyDescent="0.2">
      <c r="A2" s="171"/>
      <c r="B2" s="171"/>
      <c r="C2" s="7" t="s">
        <v>198</v>
      </c>
      <c r="D2" s="7" t="s">
        <v>199</v>
      </c>
    </row>
    <row r="3" spans="1:4" ht="15" customHeight="1" x14ac:dyDescent="0.25">
      <c r="A3" s="5" t="s">
        <v>9</v>
      </c>
      <c r="B3" s="5" t="s">
        <v>200</v>
      </c>
      <c r="C3" s="5" t="s">
        <v>1</v>
      </c>
      <c r="D3" s="5" t="s">
        <v>1</v>
      </c>
    </row>
    <row r="4" spans="1:4" ht="15" customHeight="1" x14ac:dyDescent="0.25">
      <c r="A4" s="5" t="s">
        <v>63</v>
      </c>
      <c r="B4" s="5" t="s">
        <v>63</v>
      </c>
      <c r="C4" s="5" t="s">
        <v>63</v>
      </c>
      <c r="D4" s="5" t="s">
        <v>63</v>
      </c>
    </row>
    <row r="5" spans="1:4" ht="15" customHeight="1" x14ac:dyDescent="0.25">
      <c r="A5" s="5"/>
      <c r="B5" s="5"/>
      <c r="C5" s="5" t="s">
        <v>1</v>
      </c>
      <c r="D5" s="5" t="s">
        <v>1</v>
      </c>
    </row>
    <row r="6" spans="1:4" ht="15" customHeight="1" x14ac:dyDescent="0.25">
      <c r="A6" s="5" t="s">
        <v>89</v>
      </c>
      <c r="B6" s="5" t="s">
        <v>201</v>
      </c>
      <c r="C6" s="5" t="s">
        <v>1</v>
      </c>
      <c r="D6" s="5" t="s">
        <v>1</v>
      </c>
    </row>
    <row r="7" spans="1:4" ht="15" customHeight="1" x14ac:dyDescent="0.25">
      <c r="A7" s="5" t="s">
        <v>63</v>
      </c>
      <c r="B7" s="5" t="s">
        <v>63</v>
      </c>
      <c r="C7" s="5" t="s">
        <v>63</v>
      </c>
      <c r="D7" s="5" t="s">
        <v>63</v>
      </c>
    </row>
    <row r="8" spans="1:4" ht="15" customHeight="1" x14ac:dyDescent="0.25">
      <c r="A8" s="5"/>
      <c r="B8" s="5"/>
      <c r="C8" s="5" t="s">
        <v>1</v>
      </c>
      <c r="D8" s="5" t="s">
        <v>1</v>
      </c>
    </row>
    <row r="9" spans="1:4" ht="15" customHeight="1" x14ac:dyDescent="0.25">
      <c r="A9" s="5" t="s">
        <v>116</v>
      </c>
      <c r="B9" s="5" t="s">
        <v>202</v>
      </c>
      <c r="C9" s="5" t="s">
        <v>1</v>
      </c>
      <c r="D9" s="5" t="s">
        <v>1</v>
      </c>
    </row>
    <row r="10" spans="1:4" ht="15" customHeight="1" x14ac:dyDescent="0.25">
      <c r="A10" s="5" t="s">
        <v>63</v>
      </c>
      <c r="B10" s="5" t="s">
        <v>63</v>
      </c>
      <c r="C10" s="5" t="s">
        <v>63</v>
      </c>
      <c r="D10" s="5" t="s">
        <v>63</v>
      </c>
    </row>
    <row r="11" spans="1:4" ht="15" customHeight="1" x14ac:dyDescent="0.25">
      <c r="A11" s="5"/>
      <c r="B11" s="5"/>
      <c r="C11" s="5" t="s">
        <v>1</v>
      </c>
      <c r="D11" s="5" t="s">
        <v>1</v>
      </c>
    </row>
    <row r="12" spans="1:4" ht="15" customHeight="1" x14ac:dyDescent="0.25">
      <c r="A12" s="5" t="s">
        <v>118</v>
      </c>
      <c r="B12" s="5" t="s">
        <v>203</v>
      </c>
      <c r="C12" s="5" t="s">
        <v>1</v>
      </c>
      <c r="D12" s="5" t="s">
        <v>1</v>
      </c>
    </row>
    <row r="13" spans="1:4" ht="15" customHeight="1" x14ac:dyDescent="0.25">
      <c r="A13" s="5" t="s">
        <v>63</v>
      </c>
      <c r="B13" s="5" t="s">
        <v>63</v>
      </c>
      <c r="C13" s="5" t="s">
        <v>63</v>
      </c>
      <c r="D13" s="5" t="s">
        <v>63</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171" t="s">
        <v>6</v>
      </c>
      <c r="B1" s="171" t="s">
        <v>57</v>
      </c>
      <c r="C1" s="171" t="s">
        <v>159</v>
      </c>
      <c r="D1" s="171"/>
      <c r="E1" s="171" t="s">
        <v>160</v>
      </c>
      <c r="F1" s="171"/>
      <c r="G1" s="171" t="s">
        <v>55</v>
      </c>
    </row>
    <row r="2" spans="1:7" ht="15" customHeight="1" x14ac:dyDescent="0.2">
      <c r="A2" s="171"/>
      <c r="B2" s="171"/>
      <c r="C2" s="7" t="s">
        <v>198</v>
      </c>
      <c r="D2" s="7" t="s">
        <v>204</v>
      </c>
      <c r="E2" s="7" t="s">
        <v>198</v>
      </c>
      <c r="F2" s="7" t="s">
        <v>204</v>
      </c>
      <c r="G2" s="171"/>
    </row>
    <row r="3" spans="1:7" ht="15" customHeight="1" x14ac:dyDescent="0.25">
      <c r="A3" s="8" t="s">
        <v>59</v>
      </c>
      <c r="B3" s="8" t="s">
        <v>60</v>
      </c>
      <c r="C3" s="8" t="s">
        <v>1</v>
      </c>
      <c r="D3" s="8" t="s">
        <v>1</v>
      </c>
      <c r="E3" s="8" t="s">
        <v>1</v>
      </c>
      <c r="F3" s="8" t="s">
        <v>1</v>
      </c>
      <c r="G3" s="8" t="s">
        <v>1</v>
      </c>
    </row>
    <row r="4" spans="1:7" ht="15" customHeight="1" x14ac:dyDescent="0.25">
      <c r="A4" s="5" t="s">
        <v>1</v>
      </c>
      <c r="B4" s="5" t="s">
        <v>205</v>
      </c>
      <c r="C4" s="5" t="s">
        <v>1</v>
      </c>
      <c r="D4" s="5" t="s">
        <v>1</v>
      </c>
      <c r="E4" s="5" t="s">
        <v>1</v>
      </c>
      <c r="F4" s="5" t="s">
        <v>1</v>
      </c>
      <c r="G4" s="5" t="s">
        <v>1</v>
      </c>
    </row>
    <row r="5" spans="1:7" ht="15" customHeight="1" x14ac:dyDescent="0.25">
      <c r="A5" s="5" t="s">
        <v>1</v>
      </c>
      <c r="B5" s="5" t="s">
        <v>64</v>
      </c>
      <c r="C5" s="5" t="s">
        <v>1</v>
      </c>
      <c r="D5" s="5" t="s">
        <v>1</v>
      </c>
      <c r="E5" s="5" t="s">
        <v>1</v>
      </c>
      <c r="F5" s="5" t="s">
        <v>1</v>
      </c>
      <c r="G5" s="5" t="s">
        <v>1</v>
      </c>
    </row>
    <row r="6" spans="1:7" ht="15" customHeight="1" x14ac:dyDescent="0.25">
      <c r="A6" s="5" t="s">
        <v>1</v>
      </c>
      <c r="B6" s="5" t="s">
        <v>206</v>
      </c>
      <c r="C6" s="5" t="s">
        <v>1</v>
      </c>
      <c r="D6" s="5" t="s">
        <v>1</v>
      </c>
      <c r="E6" s="5" t="s">
        <v>1</v>
      </c>
      <c r="F6" s="5" t="s">
        <v>1</v>
      </c>
      <c r="G6" s="5" t="s">
        <v>1</v>
      </c>
    </row>
    <row r="7" spans="1:7" ht="15" customHeight="1" x14ac:dyDescent="0.25">
      <c r="A7" s="8" t="s">
        <v>66</v>
      </c>
      <c r="B7" s="8" t="s">
        <v>67</v>
      </c>
      <c r="C7" s="8" t="s">
        <v>1</v>
      </c>
      <c r="D7" s="8" t="s">
        <v>1</v>
      </c>
      <c r="E7" s="8" t="s">
        <v>1</v>
      </c>
      <c r="F7" s="8" t="s">
        <v>1</v>
      </c>
      <c r="G7" s="8" t="s">
        <v>1</v>
      </c>
    </row>
    <row r="8" spans="1:7" ht="15" customHeight="1" x14ac:dyDescent="0.25">
      <c r="A8" s="5" t="s">
        <v>63</v>
      </c>
      <c r="B8" s="5" t="s">
        <v>63</v>
      </c>
      <c r="C8" s="5" t="s">
        <v>63</v>
      </c>
      <c r="D8" s="5" t="s">
        <v>63</v>
      </c>
      <c r="E8" s="5" t="s">
        <v>63</v>
      </c>
      <c r="F8" s="5" t="s">
        <v>63</v>
      </c>
      <c r="G8" s="5" t="s">
        <v>63</v>
      </c>
    </row>
    <row r="9" spans="1:7" ht="15" customHeight="1" x14ac:dyDescent="0.25">
      <c r="A9" s="8" t="s">
        <v>69</v>
      </c>
      <c r="B9" s="8" t="s">
        <v>72</v>
      </c>
      <c r="C9" s="8" t="s">
        <v>1</v>
      </c>
      <c r="D9" s="8" t="s">
        <v>1</v>
      </c>
      <c r="E9" s="8" t="s">
        <v>1</v>
      </c>
      <c r="F9" s="8" t="s">
        <v>1</v>
      </c>
      <c r="G9" s="8" t="s">
        <v>1</v>
      </c>
    </row>
    <row r="10" spans="1:7" ht="15" customHeight="1" x14ac:dyDescent="0.25">
      <c r="A10" s="5" t="s">
        <v>63</v>
      </c>
      <c r="B10" s="5" t="s">
        <v>63</v>
      </c>
      <c r="C10" s="5" t="s">
        <v>63</v>
      </c>
      <c r="D10" s="5" t="s">
        <v>63</v>
      </c>
      <c r="E10" s="5" t="s">
        <v>63</v>
      </c>
      <c r="F10" s="5" t="s">
        <v>63</v>
      </c>
      <c r="G10" s="5" t="s">
        <v>63</v>
      </c>
    </row>
    <row r="11" spans="1:7" ht="15" customHeight="1" x14ac:dyDescent="0.25">
      <c r="A11" s="8" t="s">
        <v>71</v>
      </c>
      <c r="B11" s="8" t="s">
        <v>75</v>
      </c>
      <c r="C11" s="8" t="s">
        <v>1</v>
      </c>
      <c r="D11" s="8" t="s">
        <v>1</v>
      </c>
      <c r="E11" s="8" t="s">
        <v>1</v>
      </c>
      <c r="F11" s="8" t="s">
        <v>1</v>
      </c>
      <c r="G11" s="8" t="s">
        <v>1</v>
      </c>
    </row>
    <row r="12" spans="1:7" ht="15" customHeight="1" x14ac:dyDescent="0.25">
      <c r="A12" s="5" t="s">
        <v>63</v>
      </c>
      <c r="B12" s="5" t="s">
        <v>63</v>
      </c>
      <c r="C12" s="5" t="s">
        <v>63</v>
      </c>
      <c r="D12" s="5" t="s">
        <v>63</v>
      </c>
      <c r="E12" s="5" t="s">
        <v>63</v>
      </c>
      <c r="F12" s="5" t="s">
        <v>63</v>
      </c>
      <c r="G12" s="5" t="s">
        <v>63</v>
      </c>
    </row>
    <row r="13" spans="1:7" ht="15" customHeight="1" x14ac:dyDescent="0.25">
      <c r="A13" s="8" t="s">
        <v>74</v>
      </c>
      <c r="B13" s="8" t="s">
        <v>80</v>
      </c>
      <c r="C13" s="8" t="s">
        <v>1</v>
      </c>
      <c r="D13" s="8" t="s">
        <v>1</v>
      </c>
      <c r="E13" s="8" t="s">
        <v>1</v>
      </c>
      <c r="F13" s="8" t="s">
        <v>1</v>
      </c>
      <c r="G13" s="8" t="s">
        <v>1</v>
      </c>
    </row>
    <row r="14" spans="1:7" ht="15" customHeight="1" x14ac:dyDescent="0.25">
      <c r="A14" s="5" t="s">
        <v>63</v>
      </c>
      <c r="B14" s="5" t="s">
        <v>63</v>
      </c>
      <c r="C14" s="5" t="s">
        <v>63</v>
      </c>
      <c r="D14" s="5" t="s">
        <v>63</v>
      </c>
      <c r="E14" s="5" t="s">
        <v>63</v>
      </c>
      <c r="F14" s="5" t="s">
        <v>63</v>
      </c>
      <c r="G14" s="5" t="s">
        <v>63</v>
      </c>
    </row>
    <row r="15" spans="1:7" ht="15" customHeight="1" x14ac:dyDescent="0.25">
      <c r="A15" s="8" t="s">
        <v>77</v>
      </c>
      <c r="B15" s="8" t="s">
        <v>83</v>
      </c>
      <c r="C15" s="8" t="s">
        <v>1</v>
      </c>
      <c r="D15" s="8" t="s">
        <v>1</v>
      </c>
      <c r="E15" s="8" t="s">
        <v>1</v>
      </c>
      <c r="F15" s="8" t="s">
        <v>1</v>
      </c>
      <c r="G15" s="8" t="s">
        <v>1</v>
      </c>
    </row>
    <row r="16" spans="1:7" ht="15" customHeight="1" x14ac:dyDescent="0.25">
      <c r="A16" s="5" t="s">
        <v>63</v>
      </c>
      <c r="B16" s="5" t="s">
        <v>63</v>
      </c>
      <c r="C16" s="5" t="s">
        <v>63</v>
      </c>
      <c r="D16" s="5" t="s">
        <v>63</v>
      </c>
      <c r="E16" s="5" t="s">
        <v>63</v>
      </c>
      <c r="F16" s="5" t="s">
        <v>63</v>
      </c>
      <c r="G16" s="5" t="s">
        <v>63</v>
      </c>
    </row>
    <row r="17" spans="1:7" ht="15" customHeight="1" x14ac:dyDescent="0.25">
      <c r="A17" s="8" t="s">
        <v>79</v>
      </c>
      <c r="B17" s="8" t="s">
        <v>85</v>
      </c>
      <c r="C17" s="8" t="s">
        <v>1</v>
      </c>
      <c r="D17" s="8" t="s">
        <v>1</v>
      </c>
      <c r="E17" s="8" t="s">
        <v>1</v>
      </c>
      <c r="F17" s="8" t="s">
        <v>1</v>
      </c>
      <c r="G17" s="8" t="s">
        <v>1</v>
      </c>
    </row>
    <row r="18" spans="1:7" ht="15" customHeight="1" x14ac:dyDescent="0.25">
      <c r="A18" s="5" t="s">
        <v>63</v>
      </c>
      <c r="B18" s="5" t="s">
        <v>63</v>
      </c>
      <c r="C18" s="5" t="s">
        <v>63</v>
      </c>
      <c r="D18" s="5" t="s">
        <v>63</v>
      </c>
      <c r="E18" s="5" t="s">
        <v>63</v>
      </c>
      <c r="F18" s="5" t="s">
        <v>63</v>
      </c>
      <c r="G18" s="5" t="s">
        <v>63</v>
      </c>
    </row>
    <row r="19" spans="1:7" ht="15" customHeight="1" x14ac:dyDescent="0.25">
      <c r="A19" s="8" t="s">
        <v>82</v>
      </c>
      <c r="B19" s="8" t="s">
        <v>87</v>
      </c>
      <c r="C19" s="8" t="s">
        <v>1</v>
      </c>
      <c r="D19" s="8" t="s">
        <v>1</v>
      </c>
      <c r="E19" s="8" t="s">
        <v>1</v>
      </c>
      <c r="F19" s="8" t="s">
        <v>1</v>
      </c>
      <c r="G19" s="8" t="s">
        <v>1</v>
      </c>
    </row>
    <row r="20" spans="1:7" ht="15" customHeight="1" x14ac:dyDescent="0.25">
      <c r="A20" s="5" t="s">
        <v>1</v>
      </c>
      <c r="B20" s="5" t="s">
        <v>90</v>
      </c>
      <c r="C20" s="5" t="s">
        <v>1</v>
      </c>
      <c r="D20" s="5" t="s">
        <v>1</v>
      </c>
      <c r="E20" s="5" t="s">
        <v>1</v>
      </c>
      <c r="F20" s="5" t="s">
        <v>1</v>
      </c>
      <c r="G20" s="5" t="s">
        <v>1</v>
      </c>
    </row>
    <row r="21" spans="1:7" ht="15" customHeight="1" x14ac:dyDescent="0.25">
      <c r="A21" s="8" t="s">
        <v>92</v>
      </c>
      <c r="B21" s="8" t="s">
        <v>95</v>
      </c>
      <c r="C21" s="8" t="s">
        <v>1</v>
      </c>
      <c r="D21" s="8" t="s">
        <v>1</v>
      </c>
      <c r="E21" s="8" t="s">
        <v>1</v>
      </c>
      <c r="F21" s="8" t="s">
        <v>1</v>
      </c>
      <c r="G21" s="8" t="s">
        <v>1</v>
      </c>
    </row>
    <row r="22" spans="1:7" ht="15" customHeight="1" x14ac:dyDescent="0.25">
      <c r="A22" s="5" t="s">
        <v>63</v>
      </c>
      <c r="B22" s="5" t="s">
        <v>63</v>
      </c>
      <c r="C22" s="5" t="s">
        <v>63</v>
      </c>
      <c r="D22" s="5" t="s">
        <v>63</v>
      </c>
      <c r="E22" s="5" t="s">
        <v>63</v>
      </c>
      <c r="F22" s="5" t="s">
        <v>63</v>
      </c>
      <c r="G22" s="5" t="s">
        <v>63</v>
      </c>
    </row>
    <row r="23" spans="1:7" ht="15" customHeight="1" x14ac:dyDescent="0.25">
      <c r="A23" s="8" t="s">
        <v>94</v>
      </c>
      <c r="B23" s="8" t="s">
        <v>98</v>
      </c>
      <c r="C23" s="8" t="s">
        <v>1</v>
      </c>
      <c r="D23" s="8" t="s">
        <v>1</v>
      </c>
      <c r="E23" s="8" t="s">
        <v>1</v>
      </c>
      <c r="F23" s="8" t="s">
        <v>1</v>
      </c>
      <c r="G23" s="8" t="s">
        <v>1</v>
      </c>
    </row>
    <row r="24" spans="1:7" ht="15" customHeight="1" x14ac:dyDescent="0.25">
      <c r="A24" s="8" t="s">
        <v>97</v>
      </c>
      <c r="B24" s="8" t="s">
        <v>100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aVP7bd8Fj0tVW7/sUicQgQPcsviYK3tKKAlWOY+NIUs=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+nBgizv+metK6Us/loN8AEs2PxOTsba0ni1w7k47AQY=</DigestValue>
    </Reference>
  </SignedInfo>
  <SignatureValue>ckPIAW5EykxDM49nU6xxKMaS9VdxdKnAtEp8oyFdXW7Z96q39Jl3qvk1v4bIiN5hWxu/qIZoV4wl
OyaVjtFsCdRchIan+7fILvHWlr/ZVMX9j17bulhmKDQceiyOeWkRxxjD+NhTcJH0sn9NhJMR4lxg
7jHKjl13Fyl1uNm/INd2mvrCXRq2Tmqg2schQDgJrosCq+X3ZEDOa5E9MfzHy+26D34/6zrZW6/3
7l1s5p2NvQbnvZeTeshcFpKUBlJJxmyJHOXlkgvjW7wpknLIt3+Zs1Lxez6kxzmobRXNYIHo6oxb
kvrQYS7WYU/jf579uzbp2f8nI4/hBrvNVkhmZw==</SignatureValue>
  <KeyInfo>
    <X509Data>
      <X509Certificate>MIIFqjCCBJKgAwIBAgIQVAEBAVwDQVQu1AMhe22XljANBgkqhkiG9w0BAQsFADBcMQswCQYDVQQGEwJWTjEzMDEGA1UECgwqVklFVE5BTSBQT1NUUyBBTkQgVEVMRUNPTU1VTklDQVRJT05TIEdST1VQMRgwFgYDVQQDDA9WTlBULUNBIFNIQS0yNTYwHhcNMjQwNTIyMDcwMjAwWhcNMjUwNzI3MDgwMjAwWjCB3DELMAkGA1UEBhMCVk4xFzAVBgNVBAgMDkjhu5IgQ0jDjSBNSU5IMREwDwYDVQQHDAhRdeG6rW4gMTF9MHsGA1UEAwx0TkfDgk4gSMOATkcgVEjGr8agTkcgTeG6oEkgQ+G7lCBQSOG6pk4gxJDhuqZVIFTGryBWw4AgUEjDgVQgVFJJ4buCTiBWSeG7hlQgTkFNIOKAkyBDSEkgTkjDgU5IIE5BTSBL4buyIEtI4bueSSBOR0jEqEExIjAgBgoJkiaJk/IsZAEBDBJNU1Q6MDEwMDE1MDYxOS0wNzkwggEiMA0GCSqGSIb3DQEBAQUAA4IBDwAwggEKAoIBAQDmDG9CILGm11JtZ684eTZ+VZU0Z+dEqeYW+BR9wsu4lv/0L7mg24AEOBq4z/jDpX5rKzGMMMRbSPvS84ZXfg3XplM6xJ1snKju32fF4qJLpp836fk9D03W5JTnVVBQUZmFpdF2ZwblnjlZM2idpCVueGcQvyj/E5+Pj8VH4lOLCj3yFcA1orf+CAvtG4cUoCStfjhQQSDyN9CJDP5mizpU/4O3cv4uvUt//j8JKXcWvPLU3tQdOFIMDE7ywo7seRGonvNJ5uUHXfQp7DW9CwVb1MNcLKM+O3q121vAiVW7vTdGODltbxcIXpZUfGLMorSC5l4xY2H2bL0IF4XZTO1fAgMBAAGjggHlMIIB4TB+BggrBgEFBQcBAQRyMHAwOQYIKwYBBQUHMAKGLWh0dHA6Ly9wdWIudm5wdC1jYS52bi9jZXJ0cy92bnB0Y2Etc2hhMjU2LmNlcjAzBggrBgEFBQcwAYYnaHR0cDovL29jc3Atc2hhMjU2LnZucHQtY2Eudm4vcmVzcG9uZGVyMB0GA1UdDgQWBBRFwj67p3JGTzVsfjAtdA/dH08Yh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gBgNVHREEGTAXgRVua2tuLmxrZ3NAYmlkdi5jb20udm4wDQYJKoZIhvcNAQELBQADggEBAHDlZoBkmTvjCJ8g9vD2f3gXRVTUY1DdierIppZQmoD3JbkfptD9HFMkZV5ax1gKr40Rn7yRZNYPiD+e14dPmLfQK74fEkur1IfKb0N9cr4aUFuJTEGYXU4JRnYcmaLu0THJ6vaZLjLoSD5jGxilQma50DtH86SLrN2Rh674GQNNuy8j1R3HUORCiljL6lBZuCI1QW9n48OEMOqKts6XOQoQRfVOuaPoNB3wHR+9mZG8t40opEnsNuiC1VzM6+zz/m1NJzSkN+ykIJSGPTNFMkW0UT8FFW2pOtOOT087+IWezXKtdNxspuK09fCWij6f+QzaZ50KBCCVzAFUk3vi5t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z1jS/oFAh7vKV0VGLMMyIihtHhS6PVv0Tfy1G0AoJFI=</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rVo+Ak8fY85vaV5nJzhATJGq7FpkE3KpfjaJwXzD8zs=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f3KN50RS3NLbWBrOMmMRG0p1CaxtPGplnLJ4z8Up2nA=</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brKQsEiEK77hwTZx3ypNJMeinevzzJ1WAK2CcTPcmPg=</DigestValue>
      </Reference>
      <Reference URI="/xl/worksheets/sheet3.xml?ContentType=application/vnd.openxmlformats-officedocument.spreadsheetml.worksheet+xml">
        <DigestMethod Algorithm="http://www.w3.org/2001/04/xmlenc#sha256"/>
        <DigestValue>D9OYuh8qnh2iO5zEnwMcQkoaD1y51IwKbm/rtM6RZ6s=</DigestValue>
      </Reference>
      <Reference URI="/xl/worksheets/sheet4.xml?ContentType=application/vnd.openxmlformats-officedocument.spreadsheetml.worksheet+xml">
        <DigestMethod Algorithm="http://www.w3.org/2001/04/xmlenc#sha256"/>
        <DigestValue>d6O25xChoXsSMXvVMnUZgAcc39rYlvPLazVEDoWZ4Kg=</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3Gn8xRNfSK4hKWJobCA2/PC0XvFBN+phxnvxRn+0o4M=</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2025-02-06T09:00:23Z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2025-02-06T09:00:23Z</xd:SigningTime>
          <xd:SigningCertificate>
            <xd:Cert>
              <xd:CertDigest>
                <DigestMethod Algorithm="http://www.w3.org/2001/04/xmlenc#sha256"/>
                <DigestValue>E6cC0oR6amq3lw+EukpNCLtI17MYU850Rk5h0ZtZfQg=</DigestValue>
              </xd:CertDigest>
              <xd:IssuerSerial>
                <X509IssuerName>CN=VNPT-CA SHA-256, O=VIETNAM POSTS AND TELECOMMUNICATIONS GROUP, C=VN</X509IssuerName>
                <X509SerialNumber>111660364332905790505227889492565530518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ynxTbDAt9T3UD+IfY0rR0nDjPzZMHjWhDTmzku3fAoE=</DigestValue>
    </Reference>
    <Reference Type="http://www.w3.org/2000/09/xmldsig#Object" URI="#idOfficeObject">
      <DigestMethod Algorithm="http://www.w3.org/2001/04/xmlenc#sha256"/>
      <DigestValue>OkgF1i6htUOTOvTGcx9V/qUsXHL2gqRhR/B6Mfou5oU=</DigestValue>
    </Reference>
    <Reference Type="http://uri.etsi.org/01903#SignedProperties" URI="#idSignedProperties">
      <Transforms>
        <Transform Algorithm="http://www.w3.org/TR/2001/REC-xml-c14n-20010315"/>
      </Transforms>
      <DigestMethod Algorithm="http://www.w3.org/2001/04/xmlenc#sha256"/>
      <DigestValue>nu/R/+XqO3UEdHvJ7oUXXMCkmuDx7MG9Xpgz5Rr6mc0=</DigestValue>
    </Reference>
  </SignedInfo>
  <SignatureValue>UKCwpbSFnYRYaPEc553lOpRc9wJm/7r30707aE2RQ61LFxIUP2WmqOaPFCWLQY38dkKY8L4jj2np
8szyo7vJv8mtX5EVxWUl/RNY4NfequtqaowDFdSwD+bLbUnPcalXF0tRLsNO4oWWqbn1PyL/x+Ez
lA7Ap820Ak7cVEsS0cxJcxIUoKV7o4u+VfVpXQbk3+4zrhulsTb0GBupJMwisL68hiDTvZW1LOhn
XA9+F/Vlawd0jzNrZD98PRwYx9pl4GM0Xyo+1HgXEyHr381ML43C/02c6DSdlm5ErQB5FLB8CnEX
PUnDTsNpDKVOoPYdg8i1qWzgJbKwNsE+dmZnBA==</SignatureValue>
  <KeyInfo>
    <X509Data>
      <X509Certificate>MIIFWzCCBEOgAwIBAgIQVAEBAbK+RzNBjc9x3Ja28TANBgkqhkiG9w0BAQsFADBcMQswCQYDVQQGEwJWTjEzMDEGA1UECgwqVklFVE5BTSBQT1NUUyBBTkQgVEVMRUNPTU1VTklDQVRJT05TIEdST1VQMRgwFgYDVQQDDA9WTlBULUNBIFNIQS0yNTYwHhcNMjMwMzI4MDM1MDAwWhcNMjUwNzI4MTEwOTQ3WjCBmDELMAkGA1UEBhMCVk4xFzAVBgNVBAgMDkjhu5IgQ0jDjSBNSU5IMRowGAYDVQQHDBFRdeG6rW4gVMOibiBCw6xuaDE0MDIGA1UEAwwrQ8OUTkcgVFkgVE5ISCBRVeG6ok4gTMOdIFFV4bu4IFRIw4BOSCBDw5RORzEeMBwGCgmSJomT8ixkAQEMDk1TVDowMzA1NzA2NDU2MIIBIjANBgkqhkiG9w0BAQEFAAOCAQ8AMIIBCgKCAQEAs2UcU4AU7wSMBF1sFfPF+wVJUrNJfQpuwhuXz99HsPemsc1VIBl5cnYecyENmEkMLjE4ztVhsxUW9Skzt9LoseJOe1RqVWmM1j+EduRIV6i0wiVx8U3x4uPu3ZFfk52ZE2wHpSLpvNHr9QZkEtBkV+QvRlmJN/xUhUjcWC4AsIbOVrsxyEpQa8PfdgYn6EF6YPEwcEDIz4p6A8xR0dyEiLKLHYXACFQXgrV77cWd7iS6A62nJgLXsrarhdD09GX8jRk/hzwA0/AW0FXbvCIuidjoIh3ORzkYSXnMmgsQtULAWirvaLHkQqJ5r8iXDwKC3AwfmLPm3uG+0al96zbnpwIDAQABo4IB2jCCAdYwfgYIKwYBBQUHAQEEcjBwMDkGCCsGAQUFBzAChi1odHRwOi8vcHViLnZucHQtY2Eudm4vY2VydHMvdm5wdGNhLXNoYTI1Ni5jZXIwMwYIKwYBBQUHMAGGJ2h0dHA6Ly9vY3NwLXNoYTI1Ni52bnB0LWNhLnZuL3Jlc3BvbmRlcjAdBgNVHQ4EFgQUqDD2GHECb05XQdj3YHc/MDp3+Yg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kGA1UdEQQiMCCBHnF1eW5obmh1LmhvdHJva2VraGFpQGdtYWlsLmNvbTANBgkqhkiG9w0BAQsFAAOCAQEAPDfLXmzBobJ+aw2NArSYahfSjqj6k4tqZPMqrvzlnpWQiV2h40t0mmbuzDrsLE9LVLNH36+mz+Sx+X+ffditXy6x9hzSIoSjbcNML8Rajp4u6hdpZVj2GfLIA3SLTg9MT3zPFNwlxhD017Q1nZqnfLarA7GEmohLdtIZbEkBviuOrT+iLyzsz4bFwJKjWBoqbeorjda7bq+zos+5Vo3yzWfiOXSfJcKGoC3KUU3n79RyEoi5rSnJisgXZL+PEEERUA1vsz3hl8sJ+eKQLKc8x/ZEqvnsiW42i6xTWxPDKLhHIQRgayfVQVtUcYWQsM1sPuOeSqe3inXWxx6KXwd24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1qMGunREOBDy4Av7PKzkaIXL7yb+Kap4PGX7ESfFPKk=</DigestValue>
      </Reference>
      <Reference URI="/xl/printerSettings/printerSettings1.bin?ContentType=application/vnd.openxmlformats-officedocument.spreadsheetml.printerSettings">
        <DigestMethod Algorithm="http://www.w3.org/2001/04/xmlenc#sha256"/>
        <DigestValue>3ng7WdD4ezGtdeW1U0/w4WsdCayYW+FupEZuH82rOpg=</DigestValue>
      </Reference>
      <Reference URI="/xl/sharedStrings.xml?ContentType=application/vnd.openxmlformats-officedocument.spreadsheetml.sharedStrings+xml">
        <DigestMethod Algorithm="http://www.w3.org/2001/04/xmlenc#sha256"/>
        <DigestValue>z1jS/oFAh7vKV0VGLMMyIihtHhS6PVv0Tfy1G0AoJFI=</DigestValue>
      </Reference>
      <Reference URI="/xl/styles.xml?ContentType=application/vnd.openxmlformats-officedocument.spreadsheetml.styles+xml">
        <DigestMethod Algorithm="http://www.w3.org/2001/04/xmlenc#sha256"/>
        <DigestValue>NQ73oDzfcWbV6N0kanWTvkN9hCp6X2F1G2wKV66lf5I=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rVo+Ak8fY85vaV5nJzhATJGq7FpkE3KpfjaJwXzD8zs=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f3KN50RS3NLbWBrOMmMRG0p1CaxtPGplnLJ4z8Up2nA=</DigestValue>
      </Reference>
      <Reference URI="/xl/worksheets/sheet10.xml?ContentType=application/vnd.openxmlformats-officedocument.spreadsheetml.worksheet+xml">
        <DigestMethod Algorithm="http://www.w3.org/2001/04/xmlenc#sha256"/>
        <DigestValue>WCfMMa6D/uXfDVVxu/d29nVL6V3kCvirpwOYK96MvHY=</DigestValue>
      </Reference>
      <Reference URI="/xl/worksheets/sheet11.xml?ContentType=application/vnd.openxmlformats-officedocument.spreadsheetml.worksheet+xml">
        <DigestMethod Algorithm="http://www.w3.org/2001/04/xmlenc#sha256"/>
        <DigestValue>nnC5QK1Z4g4M4xkrMoQ/XxPn0RFTTzapMA8dHCtOkLM=</DigestValue>
      </Reference>
      <Reference URI="/xl/worksheets/sheet12.xml?ContentType=application/vnd.openxmlformats-officedocument.spreadsheetml.worksheet+xml">
        <DigestMethod Algorithm="http://www.w3.org/2001/04/xmlenc#sha256"/>
        <DigestValue>uUcBtm2b9xKPW1GHrOIslPk87/Lj3RzDyNDJf93TGkM=</DigestValue>
      </Reference>
      <Reference URI="/xl/worksheets/sheet13.xml?ContentType=application/vnd.openxmlformats-officedocument.spreadsheetml.worksheet+xml">
        <DigestMethod Algorithm="http://www.w3.org/2001/04/xmlenc#sha256"/>
        <DigestValue>zqRkSqlezIISFDUGAkhp4s+RINd6kNRllF/kSM1Jr68=</DigestValue>
      </Reference>
      <Reference URI="/xl/worksheets/sheet2.xml?ContentType=application/vnd.openxmlformats-officedocument.spreadsheetml.worksheet+xml">
        <DigestMethod Algorithm="http://www.w3.org/2001/04/xmlenc#sha256"/>
        <DigestValue>brKQsEiEK77hwTZx3ypNJMeinevzzJ1WAK2CcTPcmPg=</DigestValue>
      </Reference>
      <Reference URI="/xl/worksheets/sheet3.xml?ContentType=application/vnd.openxmlformats-officedocument.spreadsheetml.worksheet+xml">
        <DigestMethod Algorithm="http://www.w3.org/2001/04/xmlenc#sha256"/>
        <DigestValue>D9OYuh8qnh2iO5zEnwMcQkoaD1y51IwKbm/rtM6RZ6s=</DigestValue>
      </Reference>
      <Reference URI="/xl/worksheets/sheet4.xml?ContentType=application/vnd.openxmlformats-officedocument.spreadsheetml.worksheet+xml">
        <DigestMethod Algorithm="http://www.w3.org/2001/04/xmlenc#sha256"/>
        <DigestValue>d6O25xChoXsSMXvVMnUZgAcc39rYlvPLazVEDoWZ4Kg=</DigestValue>
      </Reference>
      <Reference URI="/xl/worksheets/sheet5.xml?ContentType=application/vnd.openxmlformats-officedocument.spreadsheetml.worksheet+xml">
        <DigestMethod Algorithm="http://www.w3.org/2001/04/xmlenc#sha256"/>
        <DigestValue>xqPNl4bcnp2iSEWDhUavQcJRjyMtpp4KWePTfeQXULg=</DigestValue>
      </Reference>
      <Reference URI="/xl/worksheets/sheet6.xml?ContentType=application/vnd.openxmlformats-officedocument.spreadsheetml.worksheet+xml">
        <DigestMethod Algorithm="http://www.w3.org/2001/04/xmlenc#sha256"/>
        <DigestValue>3Gn8xRNfSK4hKWJobCA2/PC0XvFBN+phxnvxRn+0o4M=</DigestValue>
      </Reference>
      <Reference URI="/xl/worksheets/sheet7.xml?ContentType=application/vnd.openxmlformats-officedocument.spreadsheetml.worksheet+xml">
        <DigestMethod Algorithm="http://www.w3.org/2001/04/xmlenc#sha256"/>
        <DigestValue>4UlIblK9e6UAMkrb4cTmjk34yx87w1CcBpiXIRVbn8k=</DigestValue>
      </Reference>
      <Reference URI="/xl/worksheets/sheet8.xml?ContentType=application/vnd.openxmlformats-officedocument.spreadsheetml.worksheet+xml">
        <DigestMethod Algorithm="http://www.w3.org/2001/04/xmlenc#sha256"/>
        <DigestValue>7AaR99qKB2nz26Bs68yBRSrUO5krExaD5TlDfXy6CCk=</DigestValue>
      </Reference>
      <Reference URI="/xl/worksheets/sheet9.xml?ContentType=application/vnd.openxmlformats-officedocument.spreadsheetml.worksheet+xml">
        <DigestMethod Algorithm="http://www.w3.org/2001/04/xmlenc#sha256"/>
        <DigestValue>EavHjc8tQdKgyQAqAu3aUj6Fl56ZeJAW49SlbOJ2Yjc=</DigestValue>
      </Reference>
    </Manifest>
    <SignatureProperties>
      <SignatureProperty Id="idSignatureTime" Target="#idPackageSignature">
        <mdssi:SignatureTime xmlns:mdssi="http://schemas.openxmlformats.org/package/2006/digital-signature">
          <mdssi:Format>YYYY-MM-DDThh:mm:ssTZD</mdssi:Format>
          <mdssi:Value>2025-02-06T09:46:41Z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2025-02-06T09:46:41Z</xd:SigningTime>
          <xd:SigningCertificate>
            <xd:Cert>
              <xd:CertDigest>
                <DigestMethod Algorithm="http://www.w3.org/2001/04/xmlenc#sha256"/>
                <DigestValue>d8/C/zH1VmYjjmM8G1yIlG2cqiR21Ic01ww3LeF03FI=</DigestValue>
              </xd:CertDigest>
              <xd:IssuerSerial>
                <X509IssuerName>CN=VNPT-CA SHA-256, O=VIETNAM POSTS AND TELECOMMUNICATIONS GROUP, C=VN</X509IssuerName>
                <X509SerialNumber>111660364359747598204937178052996544241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PhanHoiNHGS_06276</vt:lpstr>
      <vt:lpstr>DanhMucTaiSan_DTGTNN</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Thi Lan Anh</dc:creator>
  <cp:lastModifiedBy>LE NAM KHANH</cp:lastModifiedBy>
  <dcterms:created xsi:type="dcterms:W3CDTF">2021-06-04T03:42:43Z</dcterms:created>
  <dcterms:modified xsi:type="dcterms:W3CDTF">2025-02-06T08:48:34Z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